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mde\OneDrive\Documents\Archery (DeLine Laptop)\Tournaments\LASA &amp; Kealing Fiendly Invasion\"/>
    </mc:Choice>
  </mc:AlternateContent>
  <xr:revisionPtr revIDLastSave="0" documentId="8_{F3EB8FF2-717B-4DF6-A563-06AE0A5682BB}" xr6:coauthVersionLast="47" xr6:coauthVersionMax="47" xr10:uidLastSave="{00000000-0000-0000-0000-000000000000}"/>
  <bookViews>
    <workbookView xWindow="20" yWindow="420" windowWidth="19380" windowHeight="11300" xr2:uid="{8BBFE020-F95E-4471-996F-4BF0DC02AA27}"/>
  </bookViews>
  <sheets>
    <sheet name="LASA+Kealing Sites" sheetId="3" r:id="rId1"/>
    <sheet name="Awards" sheetId="4" r:id="rId2"/>
    <sheet name="LASA Site" sheetId="1" r:id="rId3"/>
    <sheet name="Kealing Site" sheetId="2" r:id="rId4"/>
    <sheet name="Reg Sheet" sheetId="5" r:id="rId5"/>
  </sheets>
  <definedNames>
    <definedName name="_xlnm._FilterDatabase" localSheetId="0" hidden="1">'LASA+Kealing Sites'!$A$1:$N$358</definedName>
    <definedName name="_xlnm._FilterDatabase" localSheetId="4" hidden="1">'Reg Sheet'!$A$1:$K$357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13" i="3"/>
  <c r="B218" i="3"/>
  <c r="B223" i="3"/>
  <c r="B226" i="3"/>
  <c r="B224" i="3"/>
  <c r="B206" i="3"/>
  <c r="B208" i="3"/>
  <c r="B240" i="3"/>
  <c r="B246" i="3"/>
  <c r="B231" i="3"/>
  <c r="B244" i="3"/>
  <c r="B230" i="3"/>
  <c r="B216" i="3"/>
  <c r="B225" i="3"/>
  <c r="B236" i="3"/>
  <c r="B237" i="3"/>
  <c r="B235" i="3"/>
  <c r="B209" i="3"/>
  <c r="B232" i="3"/>
  <c r="B217" i="3"/>
  <c r="B211" i="3"/>
  <c r="B227" i="3"/>
  <c r="B233" i="3"/>
  <c r="B212" i="3"/>
  <c r="B247" i="3"/>
  <c r="B242" i="3"/>
  <c r="B234" i="3"/>
  <c r="B219" i="3"/>
  <c r="B214" i="3"/>
  <c r="B210" i="3"/>
  <c r="B241" i="3"/>
  <c r="B228" i="3"/>
  <c r="B222" i="3"/>
  <c r="B221" i="3"/>
  <c r="B239" i="3"/>
  <c r="B243" i="3"/>
  <c r="B245" i="3"/>
  <c r="B207" i="3"/>
  <c r="B238" i="3"/>
  <c r="B220" i="3"/>
  <c r="B215" i="3"/>
  <c r="B229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13" i="3"/>
  <c r="E218" i="3"/>
  <c r="E223" i="3"/>
  <c r="E226" i="3"/>
  <c r="E224" i="3"/>
  <c r="E206" i="3"/>
  <c r="E208" i="3"/>
  <c r="E240" i="3"/>
  <c r="E246" i="3"/>
  <c r="E231" i="3"/>
  <c r="E244" i="3"/>
  <c r="E230" i="3"/>
  <c r="E216" i="3"/>
  <c r="E225" i="3"/>
  <c r="E236" i="3"/>
  <c r="E237" i="3"/>
  <c r="E235" i="3"/>
  <c r="E209" i="3"/>
  <c r="E232" i="3"/>
  <c r="E217" i="3"/>
  <c r="E211" i="3"/>
  <c r="E227" i="3"/>
  <c r="E233" i="3"/>
  <c r="E212" i="3"/>
  <c r="E247" i="3"/>
  <c r="E242" i="3"/>
  <c r="E234" i="3"/>
  <c r="E219" i="3"/>
  <c r="E214" i="3"/>
  <c r="E210" i="3"/>
  <c r="E241" i="3"/>
  <c r="E228" i="3"/>
  <c r="E222" i="3"/>
  <c r="E221" i="3"/>
  <c r="E239" i="3"/>
  <c r="E243" i="3"/>
  <c r="E245" i="3"/>
  <c r="E207" i="3"/>
  <c r="E238" i="3"/>
  <c r="E220" i="3"/>
  <c r="E215" i="3"/>
  <c r="E229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2" i="3"/>
  <c r="H338" i="2"/>
  <c r="G338" i="2"/>
  <c r="F338" i="2"/>
  <c r="E338" i="2"/>
  <c r="D338" i="2"/>
  <c r="C338" i="2"/>
  <c r="B338" i="2"/>
  <c r="A338" i="2"/>
  <c r="H337" i="2"/>
  <c r="G337" i="2"/>
  <c r="F337" i="2"/>
  <c r="E337" i="2"/>
  <c r="D337" i="2"/>
  <c r="C337" i="2"/>
  <c r="B337" i="2"/>
  <c r="A337" i="2"/>
  <c r="H336" i="2"/>
  <c r="G336" i="2"/>
  <c r="F336" i="2"/>
  <c r="E336" i="2"/>
  <c r="D336" i="2"/>
  <c r="C336" i="2"/>
  <c r="B336" i="2"/>
  <c r="A336" i="2"/>
  <c r="H335" i="2"/>
  <c r="G335" i="2"/>
  <c r="F335" i="2"/>
  <c r="E335" i="2"/>
  <c r="D335" i="2"/>
  <c r="C335" i="2"/>
  <c r="B335" i="2"/>
  <c r="A335" i="2"/>
  <c r="H334" i="2"/>
  <c r="G334" i="2"/>
  <c r="F334" i="2"/>
  <c r="E334" i="2"/>
  <c r="D334" i="2"/>
  <c r="C334" i="2"/>
  <c r="B334" i="2"/>
  <c r="A334" i="2"/>
  <c r="H333" i="2"/>
  <c r="G333" i="2"/>
  <c r="F333" i="2"/>
  <c r="E333" i="2"/>
  <c r="D333" i="2"/>
  <c r="C333" i="2"/>
  <c r="B333" i="2"/>
  <c r="A333" i="2"/>
  <c r="H332" i="2"/>
  <c r="G332" i="2"/>
  <c r="F332" i="2"/>
  <c r="E332" i="2"/>
  <c r="D332" i="2"/>
  <c r="C332" i="2"/>
  <c r="B332" i="2"/>
  <c r="A332" i="2"/>
  <c r="H331" i="2"/>
  <c r="G331" i="2"/>
  <c r="F331" i="2"/>
  <c r="E331" i="2"/>
  <c r="D331" i="2"/>
  <c r="C331" i="2"/>
  <c r="B331" i="2"/>
  <c r="A331" i="2"/>
  <c r="H330" i="2"/>
  <c r="G330" i="2"/>
  <c r="F330" i="2"/>
  <c r="E330" i="2"/>
  <c r="D330" i="2"/>
  <c r="C330" i="2"/>
  <c r="B330" i="2"/>
  <c r="A330" i="2"/>
  <c r="H329" i="2"/>
  <c r="G329" i="2"/>
  <c r="F329" i="2"/>
  <c r="E329" i="2"/>
  <c r="D329" i="2"/>
  <c r="C329" i="2"/>
  <c r="B329" i="2"/>
  <c r="A329" i="2"/>
  <c r="H328" i="2"/>
  <c r="G328" i="2"/>
  <c r="F328" i="2"/>
  <c r="E328" i="2"/>
  <c r="D328" i="2"/>
  <c r="C328" i="2"/>
  <c r="B328" i="2"/>
  <c r="A328" i="2"/>
  <c r="H327" i="2"/>
  <c r="G327" i="2"/>
  <c r="F327" i="2"/>
  <c r="E327" i="2"/>
  <c r="D327" i="2"/>
  <c r="C327" i="2"/>
  <c r="B327" i="2"/>
  <c r="A327" i="2"/>
  <c r="H326" i="2"/>
  <c r="G326" i="2"/>
  <c r="F326" i="2"/>
  <c r="E326" i="2"/>
  <c r="D326" i="2"/>
  <c r="C326" i="2"/>
  <c r="B326" i="2"/>
  <c r="A326" i="2"/>
  <c r="H325" i="2"/>
  <c r="G325" i="2"/>
  <c r="F325" i="2"/>
  <c r="E325" i="2"/>
  <c r="D325" i="2"/>
  <c r="C325" i="2"/>
  <c r="B325" i="2"/>
  <c r="A325" i="2"/>
  <c r="H324" i="2"/>
  <c r="G324" i="2"/>
  <c r="F324" i="2"/>
  <c r="E324" i="2"/>
  <c r="D324" i="2"/>
  <c r="C324" i="2"/>
  <c r="B324" i="2"/>
  <c r="A324" i="2"/>
  <c r="H323" i="2"/>
  <c r="G323" i="2"/>
  <c r="F323" i="2"/>
  <c r="E323" i="2"/>
  <c r="D323" i="2"/>
  <c r="C323" i="2"/>
  <c r="B323" i="2"/>
  <c r="A323" i="2"/>
  <c r="H322" i="2"/>
  <c r="G322" i="2"/>
  <c r="F322" i="2"/>
  <c r="E322" i="2"/>
  <c r="D322" i="2"/>
  <c r="C322" i="2"/>
  <c r="B322" i="2"/>
  <c r="A322" i="2"/>
  <c r="H321" i="2"/>
  <c r="G321" i="2"/>
  <c r="F321" i="2"/>
  <c r="E321" i="2"/>
  <c r="D321" i="2"/>
  <c r="C321" i="2"/>
  <c r="B321" i="2"/>
  <c r="A321" i="2"/>
  <c r="H320" i="2"/>
  <c r="G320" i="2"/>
  <c r="F320" i="2"/>
  <c r="E320" i="2"/>
  <c r="D320" i="2"/>
  <c r="C320" i="2"/>
  <c r="B320" i="2"/>
  <c r="A320" i="2"/>
  <c r="H319" i="2"/>
  <c r="G319" i="2"/>
  <c r="F319" i="2"/>
  <c r="E319" i="2"/>
  <c r="D319" i="2"/>
  <c r="C319" i="2"/>
  <c r="B319" i="2"/>
  <c r="A319" i="2"/>
  <c r="H318" i="2"/>
  <c r="G318" i="2"/>
  <c r="F318" i="2"/>
  <c r="E318" i="2"/>
  <c r="D318" i="2"/>
  <c r="C318" i="2"/>
  <c r="B318" i="2"/>
  <c r="A318" i="2"/>
  <c r="H317" i="2"/>
  <c r="G317" i="2"/>
  <c r="F317" i="2"/>
  <c r="E317" i="2"/>
  <c r="D317" i="2"/>
  <c r="C317" i="2"/>
  <c r="B317" i="2"/>
  <c r="A317" i="2"/>
  <c r="H316" i="2"/>
  <c r="G316" i="2"/>
  <c r="F316" i="2"/>
  <c r="E316" i="2"/>
  <c r="D316" i="2"/>
  <c r="C316" i="2"/>
  <c r="B316" i="2"/>
  <c r="A316" i="2"/>
  <c r="H315" i="2"/>
  <c r="G315" i="2"/>
  <c r="F315" i="2"/>
  <c r="E315" i="2"/>
  <c r="D315" i="2"/>
  <c r="C315" i="2"/>
  <c r="B315" i="2"/>
  <c r="A315" i="2"/>
  <c r="H314" i="2"/>
  <c r="G314" i="2"/>
  <c r="F314" i="2"/>
  <c r="E314" i="2"/>
  <c r="D314" i="2"/>
  <c r="C314" i="2"/>
  <c r="B314" i="2"/>
  <c r="A314" i="2"/>
  <c r="H313" i="2"/>
  <c r="G313" i="2"/>
  <c r="F313" i="2"/>
  <c r="E313" i="2"/>
  <c r="D313" i="2"/>
  <c r="C313" i="2"/>
  <c r="B313" i="2"/>
  <c r="A313" i="2"/>
  <c r="H312" i="2"/>
  <c r="G312" i="2"/>
  <c r="F312" i="2"/>
  <c r="E312" i="2"/>
  <c r="D312" i="2"/>
  <c r="C312" i="2"/>
  <c r="B312" i="2"/>
  <c r="A312" i="2"/>
  <c r="H311" i="2"/>
  <c r="G311" i="2"/>
  <c r="F311" i="2"/>
  <c r="E311" i="2"/>
  <c r="D311" i="2"/>
  <c r="C311" i="2"/>
  <c r="B311" i="2"/>
  <c r="A311" i="2"/>
  <c r="H310" i="2"/>
  <c r="G310" i="2"/>
  <c r="F310" i="2"/>
  <c r="E310" i="2"/>
  <c r="D310" i="2"/>
  <c r="C310" i="2"/>
  <c r="B310" i="2"/>
  <c r="A310" i="2"/>
  <c r="H309" i="2"/>
  <c r="G309" i="2"/>
  <c r="F309" i="2"/>
  <c r="E309" i="2"/>
  <c r="D309" i="2"/>
  <c r="C309" i="2"/>
  <c r="B309" i="2"/>
  <c r="A309" i="2"/>
  <c r="H308" i="2"/>
  <c r="G308" i="2"/>
  <c r="F308" i="2"/>
  <c r="E308" i="2"/>
  <c r="D308" i="2"/>
  <c r="C308" i="2"/>
  <c r="B308" i="2"/>
  <c r="A308" i="2"/>
  <c r="H307" i="2"/>
  <c r="G307" i="2"/>
  <c r="F307" i="2"/>
  <c r="E307" i="2"/>
  <c r="D307" i="2"/>
  <c r="C307" i="2"/>
  <c r="B307" i="2"/>
  <c r="A307" i="2"/>
  <c r="H306" i="2"/>
  <c r="G306" i="2"/>
  <c r="F306" i="2"/>
  <c r="E306" i="2"/>
  <c r="D306" i="2"/>
  <c r="C306" i="2"/>
  <c r="B306" i="2"/>
  <c r="A306" i="2"/>
  <c r="H305" i="2"/>
  <c r="G305" i="2"/>
  <c r="F305" i="2"/>
  <c r="E305" i="2"/>
  <c r="D305" i="2"/>
  <c r="C305" i="2"/>
  <c r="B305" i="2"/>
  <c r="A305" i="2"/>
  <c r="H304" i="2"/>
  <c r="G304" i="2"/>
  <c r="F304" i="2"/>
  <c r="E304" i="2"/>
  <c r="D304" i="2"/>
  <c r="C304" i="2"/>
  <c r="B304" i="2"/>
  <c r="A304" i="2"/>
  <c r="H303" i="2"/>
  <c r="G303" i="2"/>
  <c r="F303" i="2"/>
  <c r="E303" i="2"/>
  <c r="D303" i="2"/>
  <c r="C303" i="2"/>
  <c r="B303" i="2"/>
  <c r="A303" i="2"/>
  <c r="H302" i="2"/>
  <c r="G302" i="2"/>
  <c r="F302" i="2"/>
  <c r="E302" i="2"/>
  <c r="D302" i="2"/>
  <c r="C302" i="2"/>
  <c r="B302" i="2"/>
  <c r="A302" i="2"/>
  <c r="H301" i="2"/>
  <c r="G301" i="2"/>
  <c r="F301" i="2"/>
  <c r="E301" i="2"/>
  <c r="D301" i="2"/>
  <c r="C301" i="2"/>
  <c r="B301" i="2"/>
  <c r="A301" i="2"/>
  <c r="H300" i="2"/>
  <c r="G300" i="2"/>
  <c r="F300" i="2"/>
  <c r="E300" i="2"/>
  <c r="D300" i="2"/>
  <c r="C300" i="2"/>
  <c r="B300" i="2"/>
  <c r="A300" i="2"/>
  <c r="H299" i="2"/>
  <c r="G299" i="2"/>
  <c r="F299" i="2"/>
  <c r="E299" i="2"/>
  <c r="D299" i="2"/>
  <c r="C299" i="2"/>
  <c r="B299" i="2"/>
  <c r="A299" i="2"/>
  <c r="H298" i="2"/>
  <c r="G298" i="2"/>
  <c r="F298" i="2"/>
  <c r="E298" i="2"/>
  <c r="D298" i="2"/>
  <c r="C298" i="2"/>
  <c r="B298" i="2"/>
  <c r="A298" i="2"/>
  <c r="H297" i="2"/>
  <c r="G297" i="2"/>
  <c r="F297" i="2"/>
  <c r="E297" i="2"/>
  <c r="D297" i="2"/>
  <c r="C297" i="2"/>
  <c r="B297" i="2"/>
  <c r="A297" i="2"/>
  <c r="H296" i="2"/>
  <c r="G296" i="2"/>
  <c r="F296" i="2"/>
  <c r="E296" i="2"/>
  <c r="D296" i="2"/>
  <c r="C296" i="2"/>
  <c r="B296" i="2"/>
  <c r="A296" i="2"/>
  <c r="H295" i="2"/>
  <c r="G295" i="2"/>
  <c r="F295" i="2"/>
  <c r="E295" i="2"/>
  <c r="D295" i="2"/>
  <c r="C295" i="2"/>
  <c r="B295" i="2"/>
  <c r="A295" i="2"/>
  <c r="H294" i="2"/>
  <c r="G294" i="2"/>
  <c r="F294" i="2"/>
  <c r="E294" i="2"/>
  <c r="D294" i="2"/>
  <c r="C294" i="2"/>
  <c r="B294" i="2"/>
  <c r="A294" i="2"/>
  <c r="H293" i="2"/>
  <c r="G293" i="2"/>
  <c r="F293" i="2"/>
  <c r="E293" i="2"/>
  <c r="D293" i="2"/>
  <c r="C293" i="2"/>
  <c r="B293" i="2"/>
  <c r="A293" i="2"/>
  <c r="H292" i="2"/>
  <c r="G292" i="2"/>
  <c r="F292" i="2"/>
  <c r="E292" i="2"/>
  <c r="D292" i="2"/>
  <c r="C292" i="2"/>
  <c r="B292" i="2"/>
  <c r="A292" i="2"/>
  <c r="H291" i="2"/>
  <c r="G291" i="2"/>
  <c r="F291" i="2"/>
  <c r="E291" i="2"/>
  <c r="D291" i="2"/>
  <c r="C291" i="2"/>
  <c r="B291" i="2"/>
  <c r="A291" i="2"/>
  <c r="H290" i="2"/>
  <c r="G290" i="2"/>
  <c r="F290" i="2"/>
  <c r="E290" i="2"/>
  <c r="D290" i="2"/>
  <c r="C290" i="2"/>
  <c r="B290" i="2"/>
  <c r="A290" i="2"/>
  <c r="H289" i="2"/>
  <c r="G289" i="2"/>
  <c r="F289" i="2"/>
  <c r="E289" i="2"/>
  <c r="D289" i="2"/>
  <c r="C289" i="2"/>
  <c r="B289" i="2"/>
  <c r="A289" i="2"/>
  <c r="H288" i="2"/>
  <c r="G288" i="2"/>
  <c r="F288" i="2"/>
  <c r="E288" i="2"/>
  <c r="D288" i="2"/>
  <c r="C288" i="2"/>
  <c r="B288" i="2"/>
  <c r="A288" i="2"/>
  <c r="H287" i="2"/>
  <c r="G287" i="2"/>
  <c r="F287" i="2"/>
  <c r="E287" i="2"/>
  <c r="D287" i="2"/>
  <c r="C287" i="2"/>
  <c r="B287" i="2"/>
  <c r="A287" i="2"/>
  <c r="H286" i="2"/>
  <c r="G286" i="2"/>
  <c r="F286" i="2"/>
  <c r="E286" i="2"/>
  <c r="D286" i="2"/>
  <c r="C286" i="2"/>
  <c r="B286" i="2"/>
  <c r="A286" i="2"/>
  <c r="H285" i="2"/>
  <c r="G285" i="2"/>
  <c r="F285" i="2"/>
  <c r="E285" i="2"/>
  <c r="D285" i="2"/>
  <c r="C285" i="2"/>
  <c r="B285" i="2"/>
  <c r="A285" i="2"/>
  <c r="H284" i="2"/>
  <c r="G284" i="2"/>
  <c r="F284" i="2"/>
  <c r="E284" i="2"/>
  <c r="D284" i="2"/>
  <c r="C284" i="2"/>
  <c r="B284" i="2"/>
  <c r="A284" i="2"/>
  <c r="H283" i="2"/>
  <c r="G283" i="2"/>
  <c r="F283" i="2"/>
  <c r="E283" i="2"/>
  <c r="D283" i="2"/>
  <c r="C283" i="2"/>
  <c r="B283" i="2"/>
  <c r="A283" i="2"/>
  <c r="H282" i="2"/>
  <c r="G282" i="2"/>
  <c r="F282" i="2"/>
  <c r="E282" i="2"/>
  <c r="D282" i="2"/>
  <c r="C282" i="2"/>
  <c r="B282" i="2"/>
  <c r="A282" i="2"/>
  <c r="H281" i="2"/>
  <c r="G281" i="2"/>
  <c r="F281" i="2"/>
  <c r="E281" i="2"/>
  <c r="D281" i="2"/>
  <c r="C281" i="2"/>
  <c r="B281" i="2"/>
  <c r="A281" i="2"/>
  <c r="H280" i="2"/>
  <c r="G280" i="2"/>
  <c r="F280" i="2"/>
  <c r="E280" i="2"/>
  <c r="D280" i="2"/>
  <c r="C280" i="2"/>
  <c r="B280" i="2"/>
  <c r="A280" i="2"/>
  <c r="H279" i="2"/>
  <c r="G279" i="2"/>
  <c r="F279" i="2"/>
  <c r="E279" i="2"/>
  <c r="D279" i="2"/>
  <c r="C279" i="2"/>
  <c r="B279" i="2"/>
  <c r="A279" i="2"/>
  <c r="H278" i="2"/>
  <c r="G278" i="2"/>
  <c r="F278" i="2"/>
  <c r="E278" i="2"/>
  <c r="D278" i="2"/>
  <c r="C278" i="2"/>
  <c r="B278" i="2"/>
  <c r="A278" i="2"/>
  <c r="H277" i="2"/>
  <c r="G277" i="2"/>
  <c r="F277" i="2"/>
  <c r="E277" i="2"/>
  <c r="D277" i="2"/>
  <c r="C277" i="2"/>
  <c r="B277" i="2"/>
  <c r="A277" i="2"/>
  <c r="H276" i="2"/>
  <c r="G276" i="2"/>
  <c r="F276" i="2"/>
  <c r="E276" i="2"/>
  <c r="D276" i="2"/>
  <c r="C276" i="2"/>
  <c r="B276" i="2"/>
  <c r="A276" i="2"/>
  <c r="H275" i="2"/>
  <c r="G275" i="2"/>
  <c r="F275" i="2"/>
  <c r="E275" i="2"/>
  <c r="D275" i="2"/>
  <c r="C275" i="2"/>
  <c r="B275" i="2"/>
  <c r="A275" i="2"/>
  <c r="H274" i="2"/>
  <c r="G274" i="2"/>
  <c r="F274" i="2"/>
  <c r="E274" i="2"/>
  <c r="D274" i="2"/>
  <c r="C274" i="2"/>
  <c r="B274" i="2"/>
  <c r="A274" i="2"/>
  <c r="H273" i="2"/>
  <c r="G273" i="2"/>
  <c r="F273" i="2"/>
  <c r="E273" i="2"/>
  <c r="D273" i="2"/>
  <c r="C273" i="2"/>
  <c r="B273" i="2"/>
  <c r="A273" i="2"/>
  <c r="H272" i="2"/>
  <c r="G272" i="2"/>
  <c r="F272" i="2"/>
  <c r="E272" i="2"/>
  <c r="D272" i="2"/>
  <c r="C272" i="2"/>
  <c r="B272" i="2"/>
  <c r="A272" i="2"/>
  <c r="H271" i="2"/>
  <c r="G271" i="2"/>
  <c r="F271" i="2"/>
  <c r="E271" i="2"/>
  <c r="D271" i="2"/>
  <c r="C271" i="2"/>
  <c r="B271" i="2"/>
  <c r="A271" i="2"/>
  <c r="H270" i="2"/>
  <c r="G270" i="2"/>
  <c r="F270" i="2"/>
  <c r="E270" i="2"/>
  <c r="D270" i="2"/>
  <c r="C270" i="2"/>
  <c r="B270" i="2"/>
  <c r="A270" i="2"/>
  <c r="H269" i="2"/>
  <c r="G269" i="2"/>
  <c r="F269" i="2"/>
  <c r="E269" i="2"/>
  <c r="D269" i="2"/>
  <c r="C269" i="2"/>
  <c r="B269" i="2"/>
  <c r="A269" i="2"/>
  <c r="H268" i="2"/>
  <c r="G268" i="2"/>
  <c r="F268" i="2"/>
  <c r="E268" i="2"/>
  <c r="D268" i="2"/>
  <c r="C268" i="2"/>
  <c r="B268" i="2"/>
  <c r="A268" i="2"/>
  <c r="H267" i="2"/>
  <c r="G267" i="2"/>
  <c r="F267" i="2"/>
  <c r="E267" i="2"/>
  <c r="D267" i="2"/>
  <c r="C267" i="2"/>
  <c r="B267" i="2"/>
  <c r="A267" i="2"/>
  <c r="H266" i="2"/>
  <c r="G266" i="2"/>
  <c r="F266" i="2"/>
  <c r="E266" i="2"/>
  <c r="D266" i="2"/>
  <c r="C266" i="2"/>
  <c r="B266" i="2"/>
  <c r="A266" i="2"/>
  <c r="H265" i="2"/>
  <c r="G265" i="2"/>
  <c r="F265" i="2"/>
  <c r="E265" i="2"/>
  <c r="D265" i="2"/>
  <c r="C265" i="2"/>
  <c r="B265" i="2"/>
  <c r="A265" i="2"/>
  <c r="H264" i="2"/>
  <c r="G264" i="2"/>
  <c r="F264" i="2"/>
  <c r="E264" i="2"/>
  <c r="D264" i="2"/>
  <c r="C264" i="2"/>
  <c r="B264" i="2"/>
  <c r="A264" i="2"/>
  <c r="H263" i="2"/>
  <c r="G263" i="2"/>
  <c r="F263" i="2"/>
  <c r="E263" i="2"/>
  <c r="D263" i="2"/>
  <c r="C263" i="2"/>
  <c r="B263" i="2"/>
  <c r="A263" i="2"/>
  <c r="H262" i="2"/>
  <c r="G262" i="2"/>
  <c r="F262" i="2"/>
  <c r="E262" i="2"/>
  <c r="D262" i="2"/>
  <c r="C262" i="2"/>
  <c r="B262" i="2"/>
  <c r="A262" i="2"/>
  <c r="H261" i="2"/>
  <c r="G261" i="2"/>
  <c r="F261" i="2"/>
  <c r="E261" i="2"/>
  <c r="D261" i="2"/>
  <c r="C261" i="2"/>
  <c r="B261" i="2"/>
  <c r="A261" i="2"/>
  <c r="H260" i="2"/>
  <c r="G260" i="2"/>
  <c r="F260" i="2"/>
  <c r="E260" i="2"/>
  <c r="D260" i="2"/>
  <c r="C260" i="2"/>
  <c r="B260" i="2"/>
  <c r="A260" i="2"/>
  <c r="H259" i="2"/>
  <c r="G259" i="2"/>
  <c r="F259" i="2"/>
  <c r="E259" i="2"/>
  <c r="D259" i="2"/>
  <c r="C259" i="2"/>
  <c r="B259" i="2"/>
  <c r="A259" i="2"/>
  <c r="H258" i="2"/>
  <c r="G258" i="2"/>
  <c r="F258" i="2"/>
  <c r="E258" i="2"/>
  <c r="D258" i="2"/>
  <c r="C258" i="2"/>
  <c r="B258" i="2"/>
  <c r="A258" i="2"/>
  <c r="H257" i="2"/>
  <c r="G257" i="2"/>
  <c r="F257" i="2"/>
  <c r="E257" i="2"/>
  <c r="D257" i="2"/>
  <c r="C257" i="2"/>
  <c r="B257" i="2"/>
  <c r="A257" i="2"/>
  <c r="H256" i="2"/>
  <c r="G256" i="2"/>
  <c r="F256" i="2"/>
  <c r="E256" i="2"/>
  <c r="D256" i="2"/>
  <c r="C256" i="2"/>
  <c r="B256" i="2"/>
  <c r="A256" i="2"/>
  <c r="H255" i="2"/>
  <c r="G255" i="2"/>
  <c r="F255" i="2"/>
  <c r="E255" i="2"/>
  <c r="D255" i="2"/>
  <c r="C255" i="2"/>
  <c r="B255" i="2"/>
  <c r="A255" i="2"/>
  <c r="H254" i="2"/>
  <c r="G254" i="2"/>
  <c r="F254" i="2"/>
  <c r="E254" i="2"/>
  <c r="D254" i="2"/>
  <c r="C254" i="2"/>
  <c r="B254" i="2"/>
  <c r="A254" i="2"/>
  <c r="H253" i="2"/>
  <c r="G253" i="2"/>
  <c r="F253" i="2"/>
  <c r="E253" i="2"/>
  <c r="D253" i="2"/>
  <c r="C253" i="2"/>
  <c r="B253" i="2"/>
  <c r="A253" i="2"/>
  <c r="H252" i="2"/>
  <c r="G252" i="2"/>
  <c r="F252" i="2"/>
  <c r="E252" i="2"/>
  <c r="D252" i="2"/>
  <c r="C252" i="2"/>
  <c r="B252" i="2"/>
  <c r="A252" i="2"/>
  <c r="H251" i="2"/>
  <c r="G251" i="2"/>
  <c r="F251" i="2"/>
  <c r="E251" i="2"/>
  <c r="D251" i="2"/>
  <c r="C251" i="2"/>
  <c r="B251" i="2"/>
  <c r="A251" i="2"/>
  <c r="H250" i="2"/>
  <c r="G250" i="2"/>
  <c r="F250" i="2"/>
  <c r="E250" i="2"/>
  <c r="D250" i="2"/>
  <c r="C250" i="2"/>
  <c r="B250" i="2"/>
  <c r="A250" i="2"/>
  <c r="H249" i="2"/>
  <c r="G249" i="2"/>
  <c r="F249" i="2"/>
  <c r="E249" i="2"/>
  <c r="D249" i="2"/>
  <c r="C249" i="2"/>
  <c r="B249" i="2"/>
  <c r="A249" i="2"/>
  <c r="H248" i="2"/>
  <c r="G248" i="2"/>
  <c r="F248" i="2"/>
  <c r="E248" i="2"/>
  <c r="D248" i="2"/>
  <c r="C248" i="2"/>
  <c r="B248" i="2"/>
  <c r="A248" i="2"/>
  <c r="H247" i="2"/>
  <c r="G247" i="2"/>
  <c r="F247" i="2"/>
  <c r="E247" i="2"/>
  <c r="D247" i="2"/>
  <c r="C247" i="2"/>
  <c r="B247" i="2"/>
  <c r="A247" i="2"/>
  <c r="H246" i="2"/>
  <c r="G246" i="2"/>
  <c r="F246" i="2"/>
  <c r="E246" i="2"/>
  <c r="D246" i="2"/>
  <c r="C246" i="2"/>
  <c r="B246" i="2"/>
  <c r="A246" i="2"/>
  <c r="H245" i="2"/>
  <c r="G245" i="2"/>
  <c r="F245" i="2"/>
  <c r="E245" i="2"/>
  <c r="D245" i="2"/>
  <c r="C245" i="2"/>
  <c r="B245" i="2"/>
  <c r="A245" i="2"/>
  <c r="H244" i="2"/>
  <c r="G244" i="2"/>
  <c r="F244" i="2"/>
  <c r="E244" i="2"/>
  <c r="D244" i="2"/>
  <c r="C244" i="2"/>
  <c r="B244" i="2"/>
  <c r="A244" i="2"/>
  <c r="H243" i="2"/>
  <c r="G243" i="2"/>
  <c r="F243" i="2"/>
  <c r="E243" i="2"/>
  <c r="D243" i="2"/>
  <c r="C243" i="2"/>
  <c r="B243" i="2"/>
  <c r="A243" i="2"/>
  <c r="H242" i="2"/>
  <c r="G242" i="2"/>
  <c r="F242" i="2"/>
  <c r="E242" i="2"/>
  <c r="D242" i="2"/>
  <c r="C242" i="2"/>
  <c r="B242" i="2"/>
  <c r="A242" i="2"/>
  <c r="H241" i="2"/>
  <c r="G241" i="2"/>
  <c r="F241" i="2"/>
  <c r="E241" i="2"/>
  <c r="D241" i="2"/>
  <c r="C241" i="2"/>
  <c r="B241" i="2"/>
  <c r="A241" i="2"/>
  <c r="H240" i="2"/>
  <c r="G240" i="2"/>
  <c r="F240" i="2"/>
  <c r="E240" i="2"/>
  <c r="D240" i="2"/>
  <c r="C240" i="2"/>
  <c r="B240" i="2"/>
  <c r="A240" i="2"/>
  <c r="H239" i="2"/>
  <c r="G239" i="2"/>
  <c r="F239" i="2"/>
  <c r="E239" i="2"/>
  <c r="D239" i="2"/>
  <c r="C239" i="2"/>
  <c r="B239" i="2"/>
  <c r="A239" i="2"/>
  <c r="H238" i="2"/>
  <c r="G238" i="2"/>
  <c r="F238" i="2"/>
  <c r="E238" i="2"/>
  <c r="D238" i="2"/>
  <c r="C238" i="2"/>
  <c r="B238" i="2"/>
  <c r="A238" i="2"/>
  <c r="H237" i="2"/>
  <c r="G237" i="2"/>
  <c r="F237" i="2"/>
  <c r="E237" i="2"/>
  <c r="D237" i="2"/>
  <c r="C237" i="2"/>
  <c r="B237" i="2"/>
  <c r="A237" i="2"/>
  <c r="H236" i="2"/>
  <c r="G236" i="2"/>
  <c r="F236" i="2"/>
  <c r="E236" i="2"/>
  <c r="D236" i="2"/>
  <c r="C236" i="2"/>
  <c r="B236" i="2"/>
  <c r="A236" i="2"/>
  <c r="H235" i="2"/>
  <c r="G235" i="2"/>
  <c r="F235" i="2"/>
  <c r="E235" i="2"/>
  <c r="D235" i="2"/>
  <c r="C235" i="2"/>
  <c r="B235" i="2"/>
  <c r="A235" i="2"/>
  <c r="H234" i="2"/>
  <c r="G234" i="2"/>
  <c r="F234" i="2"/>
  <c r="E234" i="2"/>
  <c r="D234" i="2"/>
  <c r="C234" i="2"/>
  <c r="B234" i="2"/>
  <c r="A234" i="2"/>
  <c r="H233" i="2"/>
  <c r="G233" i="2"/>
  <c r="F233" i="2"/>
  <c r="E233" i="2"/>
  <c r="D233" i="2"/>
  <c r="C233" i="2"/>
  <c r="B233" i="2"/>
  <c r="A233" i="2"/>
  <c r="H232" i="2"/>
  <c r="G232" i="2"/>
  <c r="F232" i="2"/>
  <c r="E232" i="2"/>
  <c r="D232" i="2"/>
  <c r="C232" i="2"/>
  <c r="B232" i="2"/>
  <c r="A232" i="2"/>
  <c r="H231" i="2"/>
  <c r="G231" i="2"/>
  <c r="F231" i="2"/>
  <c r="E231" i="2"/>
  <c r="D231" i="2"/>
  <c r="C231" i="2"/>
  <c r="B231" i="2"/>
  <c r="A231" i="2"/>
  <c r="H230" i="2"/>
  <c r="G230" i="2"/>
  <c r="F230" i="2"/>
  <c r="E230" i="2"/>
  <c r="D230" i="2"/>
  <c r="C230" i="2"/>
  <c r="B230" i="2"/>
  <c r="A230" i="2"/>
  <c r="H229" i="2"/>
  <c r="G229" i="2"/>
  <c r="F229" i="2"/>
  <c r="E229" i="2"/>
  <c r="D229" i="2"/>
  <c r="C229" i="2"/>
  <c r="B229" i="2"/>
  <c r="A229" i="2"/>
  <c r="H228" i="2"/>
  <c r="G228" i="2"/>
  <c r="F228" i="2"/>
  <c r="E228" i="2"/>
  <c r="D228" i="2"/>
  <c r="C228" i="2"/>
  <c r="B228" i="2"/>
  <c r="A228" i="2"/>
  <c r="H227" i="2"/>
  <c r="G227" i="2"/>
  <c r="F227" i="2"/>
  <c r="E227" i="2"/>
  <c r="D227" i="2"/>
  <c r="C227" i="2"/>
  <c r="B227" i="2"/>
  <c r="A227" i="2"/>
  <c r="H226" i="2"/>
  <c r="G226" i="2"/>
  <c r="F226" i="2"/>
  <c r="E226" i="2"/>
  <c r="D226" i="2"/>
  <c r="C226" i="2"/>
  <c r="B226" i="2"/>
  <c r="A226" i="2"/>
  <c r="H225" i="2"/>
  <c r="G225" i="2"/>
  <c r="F225" i="2"/>
  <c r="E225" i="2"/>
  <c r="D225" i="2"/>
  <c r="C225" i="2"/>
  <c r="B225" i="2"/>
  <c r="A225" i="2"/>
  <c r="H224" i="2"/>
  <c r="G224" i="2"/>
  <c r="F224" i="2"/>
  <c r="E224" i="2"/>
  <c r="D224" i="2"/>
  <c r="C224" i="2"/>
  <c r="B224" i="2"/>
  <c r="A224" i="2"/>
  <c r="H223" i="2"/>
  <c r="G223" i="2"/>
  <c r="F223" i="2"/>
  <c r="E223" i="2"/>
  <c r="D223" i="2"/>
  <c r="C223" i="2"/>
  <c r="B223" i="2"/>
  <c r="A223" i="2"/>
  <c r="H222" i="2"/>
  <c r="G222" i="2"/>
  <c r="F222" i="2"/>
  <c r="E222" i="2"/>
  <c r="D222" i="2"/>
  <c r="C222" i="2"/>
  <c r="B222" i="2"/>
  <c r="A222" i="2"/>
  <c r="H221" i="2"/>
  <c r="G221" i="2"/>
  <c r="F221" i="2"/>
  <c r="E221" i="2"/>
  <c r="D221" i="2"/>
  <c r="C221" i="2"/>
  <c r="B221" i="2"/>
  <c r="A221" i="2"/>
  <c r="H220" i="2"/>
  <c r="G220" i="2"/>
  <c r="F220" i="2"/>
  <c r="E220" i="2"/>
  <c r="D220" i="2"/>
  <c r="C220" i="2"/>
  <c r="B220" i="2"/>
  <c r="A220" i="2"/>
  <c r="H219" i="2"/>
  <c r="G219" i="2"/>
  <c r="F219" i="2"/>
  <c r="E219" i="2"/>
  <c r="D219" i="2"/>
  <c r="C219" i="2"/>
  <c r="B219" i="2"/>
  <c r="A219" i="2"/>
  <c r="H218" i="2"/>
  <c r="G218" i="2"/>
  <c r="F218" i="2"/>
  <c r="E218" i="2"/>
  <c r="D218" i="2"/>
  <c r="C218" i="2"/>
  <c r="B218" i="2"/>
  <c r="A218" i="2"/>
  <c r="H217" i="2"/>
  <c r="G217" i="2"/>
  <c r="F217" i="2"/>
  <c r="E217" i="2"/>
  <c r="D217" i="2"/>
  <c r="C217" i="2"/>
  <c r="B217" i="2"/>
  <c r="A217" i="2"/>
  <c r="H216" i="2"/>
  <c r="G216" i="2"/>
  <c r="F216" i="2"/>
  <c r="E216" i="2"/>
  <c r="D216" i="2"/>
  <c r="C216" i="2"/>
  <c r="B216" i="2"/>
  <c r="A216" i="2"/>
  <c r="H215" i="2"/>
  <c r="G215" i="2"/>
  <c r="F215" i="2"/>
  <c r="E215" i="2"/>
  <c r="D215" i="2"/>
  <c r="C215" i="2"/>
  <c r="B215" i="2"/>
  <c r="A215" i="2"/>
  <c r="H214" i="2"/>
  <c r="G214" i="2"/>
  <c r="F214" i="2"/>
  <c r="E214" i="2"/>
  <c r="D214" i="2"/>
  <c r="C214" i="2"/>
  <c r="B214" i="2"/>
  <c r="A214" i="2"/>
  <c r="H213" i="2"/>
  <c r="G213" i="2"/>
  <c r="F213" i="2"/>
  <c r="E213" i="2"/>
  <c r="D213" i="2"/>
  <c r="C213" i="2"/>
  <c r="B213" i="2"/>
  <c r="A213" i="2"/>
  <c r="H212" i="2"/>
  <c r="G212" i="2"/>
  <c r="F212" i="2"/>
  <c r="E212" i="2"/>
  <c r="D212" i="2"/>
  <c r="C212" i="2"/>
  <c r="B212" i="2"/>
  <c r="A212" i="2"/>
  <c r="H211" i="2"/>
  <c r="G211" i="2"/>
  <c r="F211" i="2"/>
  <c r="E211" i="2"/>
  <c r="D211" i="2"/>
  <c r="C211" i="2"/>
  <c r="B211" i="2"/>
  <c r="A211" i="2"/>
  <c r="H210" i="2"/>
  <c r="G210" i="2"/>
  <c r="F210" i="2"/>
  <c r="E210" i="2"/>
  <c r="D210" i="2"/>
  <c r="C210" i="2"/>
  <c r="B210" i="2"/>
  <c r="A210" i="2"/>
  <c r="H209" i="2"/>
  <c r="G209" i="2"/>
  <c r="F209" i="2"/>
  <c r="E209" i="2"/>
  <c r="D209" i="2"/>
  <c r="C209" i="2"/>
  <c r="B209" i="2"/>
  <c r="A209" i="2"/>
  <c r="H208" i="2"/>
  <c r="G208" i="2"/>
  <c r="F208" i="2"/>
  <c r="E208" i="2"/>
  <c r="D208" i="2"/>
  <c r="C208" i="2"/>
  <c r="B208" i="2"/>
  <c r="A208" i="2"/>
  <c r="H207" i="2"/>
  <c r="G207" i="2"/>
  <c r="F207" i="2"/>
  <c r="E207" i="2"/>
  <c r="D207" i="2"/>
  <c r="C207" i="2"/>
  <c r="B207" i="2"/>
  <c r="A207" i="2"/>
  <c r="H206" i="2"/>
  <c r="G206" i="2"/>
  <c r="F206" i="2"/>
  <c r="E206" i="2"/>
  <c r="D206" i="2"/>
  <c r="C206" i="2"/>
  <c r="B206" i="2"/>
  <c r="A206" i="2"/>
  <c r="H205" i="2"/>
  <c r="G205" i="2"/>
  <c r="F205" i="2"/>
  <c r="E205" i="2"/>
  <c r="D205" i="2"/>
  <c r="C205" i="2"/>
  <c r="B205" i="2"/>
  <c r="A205" i="2"/>
  <c r="H204" i="2"/>
  <c r="G204" i="2"/>
  <c r="F204" i="2"/>
  <c r="E204" i="2"/>
  <c r="D204" i="2"/>
  <c r="C204" i="2"/>
  <c r="B204" i="2"/>
  <c r="A204" i="2"/>
  <c r="H203" i="2"/>
  <c r="G203" i="2"/>
  <c r="F203" i="2"/>
  <c r="E203" i="2"/>
  <c r="D203" i="2"/>
  <c r="C203" i="2"/>
  <c r="B203" i="2"/>
  <c r="A203" i="2"/>
  <c r="H202" i="2"/>
  <c r="G202" i="2"/>
  <c r="F202" i="2"/>
  <c r="E202" i="2"/>
  <c r="D202" i="2"/>
  <c r="C202" i="2"/>
  <c r="B202" i="2"/>
  <c r="A202" i="2"/>
  <c r="H201" i="2"/>
  <c r="G201" i="2"/>
  <c r="F201" i="2"/>
  <c r="E201" i="2"/>
  <c r="D201" i="2"/>
  <c r="C201" i="2"/>
  <c r="B201" i="2"/>
  <c r="A201" i="2"/>
  <c r="H200" i="2"/>
  <c r="G200" i="2"/>
  <c r="F200" i="2"/>
  <c r="E200" i="2"/>
  <c r="D200" i="2"/>
  <c r="C200" i="2"/>
  <c r="B200" i="2"/>
  <c r="A200" i="2"/>
  <c r="H199" i="2"/>
  <c r="G199" i="2"/>
  <c r="F199" i="2"/>
  <c r="E199" i="2"/>
  <c r="D199" i="2"/>
  <c r="C199" i="2"/>
  <c r="B199" i="2"/>
  <c r="A199" i="2"/>
  <c r="H198" i="2"/>
  <c r="G198" i="2"/>
  <c r="F198" i="2"/>
  <c r="E198" i="2"/>
  <c r="D198" i="2"/>
  <c r="C198" i="2"/>
  <c r="B198" i="2"/>
  <c r="A198" i="2"/>
  <c r="H197" i="2"/>
  <c r="G197" i="2"/>
  <c r="F197" i="2"/>
  <c r="E197" i="2"/>
  <c r="D197" i="2"/>
  <c r="C197" i="2"/>
  <c r="B197" i="2"/>
  <c r="A197" i="2"/>
  <c r="H196" i="2"/>
  <c r="G196" i="2"/>
  <c r="F196" i="2"/>
  <c r="E196" i="2"/>
  <c r="D196" i="2"/>
  <c r="C196" i="2"/>
  <c r="B196" i="2"/>
  <c r="A196" i="2"/>
  <c r="H195" i="2"/>
  <c r="G195" i="2"/>
  <c r="F195" i="2"/>
  <c r="E195" i="2"/>
  <c r="D195" i="2"/>
  <c r="C195" i="2"/>
  <c r="B195" i="2"/>
  <c r="A195" i="2"/>
  <c r="H194" i="2"/>
  <c r="G194" i="2"/>
  <c r="F194" i="2"/>
  <c r="E194" i="2"/>
  <c r="D194" i="2"/>
  <c r="C194" i="2"/>
  <c r="B194" i="2"/>
  <c r="A194" i="2"/>
  <c r="H193" i="2"/>
  <c r="G193" i="2"/>
  <c r="F193" i="2"/>
  <c r="E193" i="2"/>
  <c r="D193" i="2"/>
  <c r="C193" i="2"/>
  <c r="B193" i="2"/>
  <c r="A193" i="2"/>
  <c r="H192" i="2"/>
  <c r="G192" i="2"/>
  <c r="F192" i="2"/>
  <c r="E192" i="2"/>
  <c r="D192" i="2"/>
  <c r="C192" i="2"/>
  <c r="B192" i="2"/>
  <c r="A192" i="2"/>
  <c r="H191" i="2"/>
  <c r="G191" i="2"/>
  <c r="F191" i="2"/>
  <c r="E191" i="2"/>
  <c r="D191" i="2"/>
  <c r="C191" i="2"/>
  <c r="B191" i="2"/>
  <c r="A191" i="2"/>
  <c r="H190" i="2"/>
  <c r="G190" i="2"/>
  <c r="F190" i="2"/>
  <c r="E190" i="2"/>
  <c r="D190" i="2"/>
  <c r="C190" i="2"/>
  <c r="B190" i="2"/>
  <c r="A190" i="2"/>
  <c r="H189" i="2"/>
  <c r="G189" i="2"/>
  <c r="F189" i="2"/>
  <c r="E189" i="2"/>
  <c r="D189" i="2"/>
  <c r="C189" i="2"/>
  <c r="B189" i="2"/>
  <c r="A189" i="2"/>
  <c r="H188" i="2"/>
  <c r="G188" i="2"/>
  <c r="F188" i="2"/>
  <c r="E188" i="2"/>
  <c r="D188" i="2"/>
  <c r="C188" i="2"/>
  <c r="B188" i="2"/>
  <c r="A188" i="2"/>
  <c r="H187" i="2"/>
  <c r="G187" i="2"/>
  <c r="F187" i="2"/>
  <c r="E187" i="2"/>
  <c r="D187" i="2"/>
  <c r="C187" i="2"/>
  <c r="B187" i="2"/>
  <c r="A187" i="2"/>
  <c r="H186" i="2"/>
  <c r="G186" i="2"/>
  <c r="F186" i="2"/>
  <c r="E186" i="2"/>
  <c r="D186" i="2"/>
  <c r="C186" i="2"/>
  <c r="B186" i="2"/>
  <c r="A186" i="2"/>
  <c r="H185" i="2"/>
  <c r="G185" i="2"/>
  <c r="F185" i="2"/>
  <c r="E185" i="2"/>
  <c r="D185" i="2"/>
  <c r="C185" i="2"/>
  <c r="B185" i="2"/>
  <c r="A185" i="2"/>
  <c r="H184" i="2"/>
  <c r="G184" i="2"/>
  <c r="F184" i="2"/>
  <c r="E184" i="2"/>
  <c r="D184" i="2"/>
  <c r="C184" i="2"/>
  <c r="B184" i="2"/>
  <c r="A184" i="2"/>
  <c r="H183" i="2"/>
  <c r="G183" i="2"/>
  <c r="F183" i="2"/>
  <c r="E183" i="2"/>
  <c r="D183" i="2"/>
  <c r="C183" i="2"/>
  <c r="B183" i="2"/>
  <c r="A183" i="2"/>
  <c r="H182" i="2"/>
  <c r="G182" i="2"/>
  <c r="F182" i="2"/>
  <c r="E182" i="2"/>
  <c r="D182" i="2"/>
  <c r="C182" i="2"/>
  <c r="B182" i="2"/>
  <c r="A182" i="2"/>
  <c r="H181" i="2"/>
  <c r="G181" i="2"/>
  <c r="F181" i="2"/>
  <c r="E181" i="2"/>
  <c r="D181" i="2"/>
  <c r="C181" i="2"/>
  <c r="B181" i="2"/>
  <c r="A181" i="2"/>
  <c r="H180" i="2"/>
  <c r="G180" i="2"/>
  <c r="F180" i="2"/>
  <c r="E180" i="2"/>
  <c r="D180" i="2"/>
  <c r="C180" i="2"/>
  <c r="B180" i="2"/>
  <c r="A180" i="2"/>
  <c r="H179" i="2"/>
  <c r="G179" i="2"/>
  <c r="F179" i="2"/>
  <c r="E179" i="2"/>
  <c r="D179" i="2"/>
  <c r="C179" i="2"/>
  <c r="B179" i="2"/>
  <c r="A179" i="2"/>
  <c r="H178" i="2"/>
  <c r="G178" i="2"/>
  <c r="F178" i="2"/>
  <c r="E178" i="2"/>
  <c r="D178" i="2"/>
  <c r="C178" i="2"/>
  <c r="B178" i="2"/>
  <c r="A178" i="2"/>
  <c r="H177" i="2"/>
  <c r="G177" i="2"/>
  <c r="F177" i="2"/>
  <c r="E177" i="2"/>
  <c r="D177" i="2"/>
  <c r="C177" i="2"/>
  <c r="B177" i="2"/>
  <c r="A177" i="2"/>
  <c r="H176" i="2"/>
  <c r="G176" i="2"/>
  <c r="F176" i="2"/>
  <c r="E176" i="2"/>
  <c r="D176" i="2"/>
  <c r="C176" i="2"/>
  <c r="B176" i="2"/>
  <c r="A176" i="2"/>
  <c r="H175" i="2"/>
  <c r="G175" i="2"/>
  <c r="F175" i="2"/>
  <c r="E175" i="2"/>
  <c r="D175" i="2"/>
  <c r="C175" i="2"/>
  <c r="B175" i="2"/>
  <c r="A175" i="2"/>
  <c r="H174" i="2"/>
  <c r="G174" i="2"/>
  <c r="F174" i="2"/>
  <c r="E174" i="2"/>
  <c r="D174" i="2"/>
  <c r="C174" i="2"/>
  <c r="B174" i="2"/>
  <c r="A174" i="2"/>
  <c r="H173" i="2"/>
  <c r="G173" i="2"/>
  <c r="F173" i="2"/>
  <c r="E173" i="2"/>
  <c r="D173" i="2"/>
  <c r="C173" i="2"/>
  <c r="B173" i="2"/>
  <c r="A173" i="2"/>
  <c r="H172" i="2"/>
  <c r="G172" i="2"/>
  <c r="F172" i="2"/>
  <c r="E172" i="2"/>
  <c r="D172" i="2"/>
  <c r="C172" i="2"/>
  <c r="B172" i="2"/>
  <c r="A172" i="2"/>
  <c r="H171" i="2"/>
  <c r="G171" i="2"/>
  <c r="F171" i="2"/>
  <c r="E171" i="2"/>
  <c r="D171" i="2"/>
  <c r="C171" i="2"/>
  <c r="B171" i="2"/>
  <c r="A171" i="2"/>
  <c r="H170" i="2"/>
  <c r="G170" i="2"/>
  <c r="F170" i="2"/>
  <c r="E170" i="2"/>
  <c r="D170" i="2"/>
  <c r="C170" i="2"/>
  <c r="B170" i="2"/>
  <c r="A170" i="2"/>
  <c r="H169" i="2"/>
  <c r="G169" i="2"/>
  <c r="F169" i="2"/>
  <c r="E169" i="2"/>
  <c r="D169" i="2"/>
  <c r="C169" i="2"/>
  <c r="B169" i="2"/>
  <c r="A169" i="2"/>
  <c r="H168" i="2"/>
  <c r="G168" i="2"/>
  <c r="F168" i="2"/>
  <c r="E168" i="2"/>
  <c r="D168" i="2"/>
  <c r="C168" i="2"/>
  <c r="B168" i="2"/>
  <c r="A168" i="2"/>
  <c r="H167" i="2"/>
  <c r="G167" i="2"/>
  <c r="F167" i="2"/>
  <c r="E167" i="2"/>
  <c r="D167" i="2"/>
  <c r="C167" i="2"/>
  <c r="B167" i="2"/>
  <c r="A167" i="2"/>
  <c r="H166" i="2"/>
  <c r="G166" i="2"/>
  <c r="F166" i="2"/>
  <c r="E166" i="2"/>
  <c r="D166" i="2"/>
  <c r="C166" i="2"/>
  <c r="B166" i="2"/>
  <c r="A166" i="2"/>
  <c r="H165" i="2"/>
  <c r="G165" i="2"/>
  <c r="F165" i="2"/>
  <c r="E165" i="2"/>
  <c r="D165" i="2"/>
  <c r="C165" i="2"/>
  <c r="B165" i="2"/>
  <c r="A165" i="2"/>
  <c r="H164" i="2"/>
  <c r="G164" i="2"/>
  <c r="F164" i="2"/>
  <c r="E164" i="2"/>
  <c r="D164" i="2"/>
  <c r="C164" i="2"/>
  <c r="B164" i="2"/>
  <c r="A164" i="2"/>
  <c r="H163" i="2"/>
  <c r="G163" i="2"/>
  <c r="F163" i="2"/>
  <c r="E163" i="2"/>
  <c r="D163" i="2"/>
  <c r="C163" i="2"/>
  <c r="B163" i="2"/>
  <c r="A163" i="2"/>
  <c r="H162" i="2"/>
  <c r="G162" i="2"/>
  <c r="F162" i="2"/>
  <c r="E162" i="2"/>
  <c r="D162" i="2"/>
  <c r="C162" i="2"/>
  <c r="B162" i="2"/>
  <c r="A162" i="2"/>
  <c r="H161" i="2"/>
  <c r="G161" i="2"/>
  <c r="F161" i="2"/>
  <c r="E161" i="2"/>
  <c r="D161" i="2"/>
  <c r="C161" i="2"/>
  <c r="B161" i="2"/>
  <c r="A161" i="2"/>
  <c r="H160" i="2"/>
  <c r="G160" i="2"/>
  <c r="F160" i="2"/>
  <c r="E160" i="2"/>
  <c r="D160" i="2"/>
  <c r="C160" i="2"/>
  <c r="B160" i="2"/>
  <c r="A160" i="2"/>
  <c r="H159" i="2"/>
  <c r="G159" i="2"/>
  <c r="F159" i="2"/>
  <c r="E159" i="2"/>
  <c r="D159" i="2"/>
  <c r="C159" i="2"/>
  <c r="B159" i="2"/>
  <c r="A159" i="2"/>
  <c r="H158" i="2"/>
  <c r="G158" i="2"/>
  <c r="F158" i="2"/>
  <c r="E158" i="2"/>
  <c r="D158" i="2"/>
  <c r="C158" i="2"/>
  <c r="B158" i="2"/>
  <c r="A158" i="2"/>
  <c r="H157" i="2"/>
  <c r="G157" i="2"/>
  <c r="F157" i="2"/>
  <c r="E157" i="2"/>
  <c r="D157" i="2"/>
  <c r="C157" i="2"/>
  <c r="B157" i="2"/>
  <c r="A157" i="2"/>
  <c r="H156" i="2"/>
  <c r="G156" i="2"/>
  <c r="F156" i="2"/>
  <c r="E156" i="2"/>
  <c r="D156" i="2"/>
  <c r="C156" i="2"/>
  <c r="B156" i="2"/>
  <c r="A156" i="2"/>
  <c r="H155" i="2"/>
  <c r="G155" i="2"/>
  <c r="F155" i="2"/>
  <c r="E155" i="2"/>
  <c r="D155" i="2"/>
  <c r="C155" i="2"/>
  <c r="B155" i="2"/>
  <c r="A155" i="2"/>
  <c r="H154" i="2"/>
  <c r="G154" i="2"/>
  <c r="F154" i="2"/>
  <c r="E154" i="2"/>
  <c r="D154" i="2"/>
  <c r="C154" i="2"/>
  <c r="B154" i="2"/>
  <c r="A154" i="2"/>
  <c r="H153" i="2"/>
  <c r="G153" i="2"/>
  <c r="F153" i="2"/>
  <c r="E153" i="2"/>
  <c r="D153" i="2"/>
  <c r="C153" i="2"/>
  <c r="B153" i="2"/>
  <c r="A153" i="2"/>
  <c r="H152" i="2"/>
  <c r="G152" i="2"/>
  <c r="F152" i="2"/>
  <c r="E152" i="2"/>
  <c r="D152" i="2"/>
  <c r="C152" i="2"/>
  <c r="B152" i="2"/>
  <c r="A152" i="2"/>
  <c r="H151" i="2"/>
  <c r="G151" i="2"/>
  <c r="F151" i="2"/>
  <c r="E151" i="2"/>
  <c r="D151" i="2"/>
  <c r="C151" i="2"/>
  <c r="B151" i="2"/>
  <c r="A151" i="2"/>
  <c r="H150" i="2"/>
  <c r="G150" i="2"/>
  <c r="F150" i="2"/>
  <c r="E150" i="2"/>
  <c r="D150" i="2"/>
  <c r="C150" i="2"/>
  <c r="B150" i="2"/>
  <c r="A150" i="2"/>
  <c r="H149" i="2"/>
  <c r="G149" i="2"/>
  <c r="F149" i="2"/>
  <c r="E149" i="2"/>
  <c r="D149" i="2"/>
  <c r="C149" i="2"/>
  <c r="B149" i="2"/>
  <c r="A149" i="2"/>
  <c r="H148" i="2"/>
  <c r="G148" i="2"/>
  <c r="F148" i="2"/>
  <c r="E148" i="2"/>
  <c r="D148" i="2"/>
  <c r="C148" i="2"/>
  <c r="B148" i="2"/>
  <c r="A148" i="2"/>
  <c r="H147" i="2"/>
  <c r="G147" i="2"/>
  <c r="F147" i="2"/>
  <c r="E147" i="2"/>
  <c r="D147" i="2"/>
  <c r="C147" i="2"/>
  <c r="B147" i="2"/>
  <c r="A147" i="2"/>
  <c r="H146" i="2"/>
  <c r="G146" i="2"/>
  <c r="F146" i="2"/>
  <c r="E146" i="2"/>
  <c r="D146" i="2"/>
  <c r="C146" i="2"/>
  <c r="B146" i="2"/>
  <c r="A146" i="2"/>
  <c r="H145" i="2"/>
  <c r="G145" i="2"/>
  <c r="F145" i="2"/>
  <c r="E145" i="2"/>
  <c r="D145" i="2"/>
  <c r="C145" i="2"/>
  <c r="B145" i="2"/>
  <c r="A145" i="2"/>
  <c r="H144" i="2"/>
  <c r="G144" i="2"/>
  <c r="F144" i="2"/>
  <c r="E144" i="2"/>
  <c r="D144" i="2"/>
  <c r="C144" i="2"/>
  <c r="B144" i="2"/>
  <c r="A144" i="2"/>
  <c r="H143" i="2"/>
  <c r="G143" i="2"/>
  <c r="F143" i="2"/>
  <c r="E143" i="2"/>
  <c r="D143" i="2"/>
  <c r="C143" i="2"/>
  <c r="B143" i="2"/>
  <c r="A143" i="2"/>
  <c r="H142" i="2"/>
  <c r="G142" i="2"/>
  <c r="F142" i="2"/>
  <c r="E142" i="2"/>
  <c r="D142" i="2"/>
  <c r="C142" i="2"/>
  <c r="B142" i="2"/>
  <c r="A142" i="2"/>
  <c r="H141" i="2"/>
  <c r="G141" i="2"/>
  <c r="F141" i="2"/>
  <c r="E141" i="2"/>
  <c r="D141" i="2"/>
  <c r="C141" i="2"/>
  <c r="B141" i="2"/>
  <c r="A141" i="2"/>
  <c r="H140" i="2"/>
  <c r="G140" i="2"/>
  <c r="F140" i="2"/>
  <c r="E140" i="2"/>
  <c r="D140" i="2"/>
  <c r="C140" i="2"/>
  <c r="B140" i="2"/>
  <c r="A140" i="2"/>
  <c r="H139" i="2"/>
  <c r="G139" i="2"/>
  <c r="F139" i="2"/>
  <c r="E139" i="2"/>
  <c r="D139" i="2"/>
  <c r="C139" i="2"/>
  <c r="B139" i="2"/>
  <c r="A139" i="2"/>
  <c r="H138" i="2"/>
  <c r="G138" i="2"/>
  <c r="F138" i="2"/>
  <c r="E138" i="2"/>
  <c r="D138" i="2"/>
  <c r="C138" i="2"/>
  <c r="B138" i="2"/>
  <c r="A138" i="2"/>
  <c r="H137" i="2"/>
  <c r="G137" i="2"/>
  <c r="F137" i="2"/>
  <c r="E137" i="2"/>
  <c r="D137" i="2"/>
  <c r="C137" i="2"/>
  <c r="B137" i="2"/>
  <c r="A137" i="2"/>
  <c r="H136" i="2"/>
  <c r="G136" i="2"/>
  <c r="F136" i="2"/>
  <c r="E136" i="2"/>
  <c r="D136" i="2"/>
  <c r="C136" i="2"/>
  <c r="B136" i="2"/>
  <c r="A136" i="2"/>
  <c r="H135" i="2"/>
  <c r="G135" i="2"/>
  <c r="F135" i="2"/>
  <c r="E135" i="2"/>
  <c r="D135" i="2"/>
  <c r="C135" i="2"/>
  <c r="B135" i="2"/>
  <c r="A135" i="2"/>
  <c r="H134" i="2"/>
  <c r="G134" i="2"/>
  <c r="F134" i="2"/>
  <c r="E134" i="2"/>
  <c r="D134" i="2"/>
  <c r="C134" i="2"/>
  <c r="B134" i="2"/>
  <c r="A134" i="2"/>
  <c r="H133" i="2"/>
  <c r="G133" i="2"/>
  <c r="F133" i="2"/>
  <c r="E133" i="2"/>
  <c r="D133" i="2"/>
  <c r="C133" i="2"/>
  <c r="B133" i="2"/>
  <c r="A133" i="2"/>
  <c r="H132" i="2"/>
  <c r="G132" i="2"/>
  <c r="F132" i="2"/>
  <c r="E132" i="2"/>
  <c r="D132" i="2"/>
  <c r="C132" i="2"/>
  <c r="B132" i="2"/>
  <c r="A132" i="2"/>
  <c r="H131" i="2"/>
  <c r="G131" i="2"/>
  <c r="F131" i="2"/>
  <c r="E131" i="2"/>
  <c r="D131" i="2"/>
  <c r="C131" i="2"/>
  <c r="B131" i="2"/>
  <c r="A131" i="2"/>
  <c r="H130" i="2"/>
  <c r="G130" i="2"/>
  <c r="F130" i="2"/>
  <c r="E130" i="2"/>
  <c r="D130" i="2"/>
  <c r="C130" i="2"/>
  <c r="B130" i="2"/>
  <c r="A130" i="2"/>
  <c r="H129" i="2"/>
  <c r="G129" i="2"/>
  <c r="F129" i="2"/>
  <c r="E129" i="2"/>
  <c r="D129" i="2"/>
  <c r="C129" i="2"/>
  <c r="B129" i="2"/>
  <c r="A129" i="2"/>
  <c r="H128" i="2"/>
  <c r="G128" i="2"/>
  <c r="F128" i="2"/>
  <c r="E128" i="2"/>
  <c r="D128" i="2"/>
  <c r="C128" i="2"/>
  <c r="B128" i="2"/>
  <c r="A128" i="2"/>
  <c r="H127" i="2"/>
  <c r="G127" i="2"/>
  <c r="F127" i="2"/>
  <c r="E127" i="2"/>
  <c r="D127" i="2"/>
  <c r="C127" i="2"/>
  <c r="B127" i="2"/>
  <c r="A127" i="2"/>
  <c r="H126" i="2"/>
  <c r="G126" i="2"/>
  <c r="F126" i="2"/>
  <c r="E126" i="2"/>
  <c r="D126" i="2"/>
  <c r="C126" i="2"/>
  <c r="B126" i="2"/>
  <c r="A126" i="2"/>
  <c r="H125" i="2"/>
  <c r="G125" i="2"/>
  <c r="F125" i="2"/>
  <c r="E125" i="2"/>
  <c r="D125" i="2"/>
  <c r="C125" i="2"/>
  <c r="B125" i="2"/>
  <c r="A125" i="2"/>
  <c r="H124" i="2"/>
  <c r="G124" i="2"/>
  <c r="F124" i="2"/>
  <c r="E124" i="2"/>
  <c r="D124" i="2"/>
  <c r="C124" i="2"/>
  <c r="B124" i="2"/>
  <c r="A124" i="2"/>
  <c r="H123" i="2"/>
  <c r="G123" i="2"/>
  <c r="F123" i="2"/>
  <c r="E123" i="2"/>
  <c r="D123" i="2"/>
  <c r="C123" i="2"/>
  <c r="B123" i="2"/>
  <c r="A123" i="2"/>
  <c r="H122" i="2"/>
  <c r="G122" i="2"/>
  <c r="F122" i="2"/>
  <c r="E122" i="2"/>
  <c r="D122" i="2"/>
  <c r="C122" i="2"/>
  <c r="B122" i="2"/>
  <c r="A122" i="2"/>
  <c r="H121" i="2"/>
  <c r="G121" i="2"/>
  <c r="F121" i="2"/>
  <c r="E121" i="2"/>
  <c r="D121" i="2"/>
  <c r="C121" i="2"/>
  <c r="B121" i="2"/>
  <c r="A121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B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H112" i="2"/>
  <c r="G112" i="2"/>
  <c r="F112" i="2"/>
  <c r="E112" i="2"/>
  <c r="D112" i="2"/>
  <c r="C112" i="2"/>
  <c r="B112" i="2"/>
  <c r="A112" i="2"/>
  <c r="H111" i="2"/>
  <c r="G111" i="2"/>
  <c r="F111" i="2"/>
  <c r="E111" i="2"/>
  <c r="D111" i="2"/>
  <c r="C111" i="2"/>
  <c r="B111" i="2"/>
  <c r="A111" i="2"/>
  <c r="H110" i="2"/>
  <c r="G110" i="2"/>
  <c r="F110" i="2"/>
  <c r="E110" i="2"/>
  <c r="D110" i="2"/>
  <c r="C110" i="2"/>
  <c r="B110" i="2"/>
  <c r="A110" i="2"/>
  <c r="H109" i="2"/>
  <c r="G109" i="2"/>
  <c r="F109" i="2"/>
  <c r="E109" i="2"/>
  <c r="D109" i="2"/>
  <c r="C109" i="2"/>
  <c r="B109" i="2"/>
  <c r="A109" i="2"/>
  <c r="H108" i="2"/>
  <c r="G108" i="2"/>
  <c r="F108" i="2"/>
  <c r="E108" i="2"/>
  <c r="D108" i="2"/>
  <c r="C108" i="2"/>
  <c r="B108" i="2"/>
  <c r="A108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H102" i="2"/>
  <c r="G102" i="2"/>
  <c r="F102" i="2"/>
  <c r="E102" i="2"/>
  <c r="D102" i="2"/>
  <c r="C102" i="2"/>
  <c r="B102" i="2"/>
  <c r="A102" i="2"/>
  <c r="H101" i="2"/>
  <c r="G101" i="2"/>
  <c r="F101" i="2"/>
  <c r="E101" i="2"/>
  <c r="D101" i="2"/>
  <c r="C101" i="2"/>
  <c r="B101" i="2"/>
  <c r="A101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H97" i="2"/>
  <c r="G97" i="2"/>
  <c r="F97" i="2"/>
  <c r="E97" i="2"/>
  <c r="D97" i="2"/>
  <c r="C97" i="2"/>
  <c r="B97" i="2"/>
  <c r="A97" i="2"/>
  <c r="H96" i="2"/>
  <c r="G96" i="2"/>
  <c r="F96" i="2"/>
  <c r="E96" i="2"/>
  <c r="D96" i="2"/>
  <c r="C96" i="2"/>
  <c r="B96" i="2"/>
  <c r="A96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H88" i="2"/>
  <c r="G88" i="2"/>
  <c r="F88" i="2"/>
  <c r="E88" i="2"/>
  <c r="D88" i="2"/>
  <c r="C88" i="2"/>
  <c r="B88" i="2"/>
  <c r="A88" i="2"/>
  <c r="H87" i="2"/>
  <c r="G87" i="2"/>
  <c r="F87" i="2"/>
  <c r="E87" i="2"/>
  <c r="D87" i="2"/>
  <c r="C87" i="2"/>
  <c r="B87" i="2"/>
  <c r="A87" i="2"/>
  <c r="H86" i="2"/>
  <c r="G86" i="2"/>
  <c r="F86" i="2"/>
  <c r="E86" i="2"/>
  <c r="D86" i="2"/>
  <c r="C86" i="2"/>
  <c r="B86" i="2"/>
  <c r="A86" i="2"/>
  <c r="H85" i="2"/>
  <c r="G85" i="2"/>
  <c r="F85" i="2"/>
  <c r="E85" i="2"/>
  <c r="D85" i="2"/>
  <c r="C85" i="2"/>
  <c r="B85" i="2"/>
  <c r="A85" i="2"/>
  <c r="H84" i="2"/>
  <c r="G84" i="2"/>
  <c r="F84" i="2"/>
  <c r="E84" i="2"/>
  <c r="D84" i="2"/>
  <c r="C84" i="2"/>
  <c r="B84" i="2"/>
  <c r="A84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H77" i="2"/>
  <c r="G77" i="2"/>
  <c r="F77" i="2"/>
  <c r="E77" i="2"/>
  <c r="D77" i="2"/>
  <c r="C77" i="2"/>
  <c r="B77" i="2"/>
  <c r="A77" i="2"/>
  <c r="H76" i="2"/>
  <c r="G76" i="2"/>
  <c r="F76" i="2"/>
  <c r="E76" i="2"/>
  <c r="D76" i="2"/>
  <c r="C76" i="2"/>
  <c r="B76" i="2"/>
  <c r="A76" i="2"/>
  <c r="H75" i="2"/>
  <c r="G75" i="2"/>
  <c r="F75" i="2"/>
  <c r="E75" i="2"/>
  <c r="D75" i="2"/>
  <c r="C75" i="2"/>
  <c r="B75" i="2"/>
  <c r="A75" i="2"/>
  <c r="H74" i="2"/>
  <c r="G74" i="2"/>
  <c r="F74" i="2"/>
  <c r="E74" i="2"/>
  <c r="D74" i="2"/>
  <c r="C74" i="2"/>
  <c r="B74" i="2"/>
  <c r="A74" i="2"/>
  <c r="H73" i="2"/>
  <c r="G73" i="2"/>
  <c r="F73" i="2"/>
  <c r="E73" i="2"/>
  <c r="D73" i="2"/>
  <c r="C73" i="2"/>
  <c r="B73" i="2"/>
  <c r="A73" i="2"/>
  <c r="H72" i="2"/>
  <c r="G72" i="2"/>
  <c r="F72" i="2"/>
  <c r="E72" i="2"/>
  <c r="D72" i="2"/>
  <c r="C72" i="2"/>
  <c r="B72" i="2"/>
  <c r="A72" i="2"/>
  <c r="H71" i="2"/>
  <c r="G71" i="2"/>
  <c r="F71" i="2"/>
  <c r="E71" i="2"/>
  <c r="D71" i="2"/>
  <c r="C71" i="2"/>
  <c r="B71" i="2"/>
  <c r="A71" i="2"/>
  <c r="H70" i="2"/>
  <c r="G70" i="2"/>
  <c r="F70" i="2"/>
  <c r="E70" i="2"/>
  <c r="D70" i="2"/>
  <c r="C70" i="2"/>
  <c r="B70" i="2"/>
  <c r="A70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H63" i="2"/>
  <c r="G63" i="2"/>
  <c r="F63" i="2"/>
  <c r="E63" i="2"/>
  <c r="D63" i="2"/>
  <c r="C63" i="2"/>
  <c r="B63" i="2"/>
  <c r="A63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H59" i="2"/>
  <c r="G59" i="2"/>
  <c r="F59" i="2"/>
  <c r="E59" i="2"/>
  <c r="D59" i="2"/>
  <c r="C59" i="2"/>
  <c r="B59" i="2"/>
  <c r="A59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H56" i="2"/>
  <c r="G56" i="2"/>
  <c r="F56" i="2"/>
  <c r="E56" i="2"/>
  <c r="D56" i="2"/>
  <c r="C56" i="2"/>
  <c r="B56" i="2"/>
  <c r="A56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H53" i="2"/>
  <c r="G53" i="2"/>
  <c r="F53" i="2"/>
  <c r="E53" i="2"/>
  <c r="D53" i="2"/>
  <c r="C53" i="2"/>
  <c r="B53" i="2"/>
  <c r="A53" i="2"/>
  <c r="H52" i="2"/>
  <c r="G52" i="2"/>
  <c r="F52" i="2"/>
  <c r="E52" i="2"/>
  <c r="D52" i="2"/>
  <c r="C52" i="2"/>
  <c r="B52" i="2"/>
  <c r="A52" i="2"/>
  <c r="H51" i="2"/>
  <c r="G51" i="2"/>
  <c r="F51" i="2"/>
  <c r="E51" i="2"/>
  <c r="D51" i="2"/>
  <c r="C51" i="2"/>
  <c r="B51" i="2"/>
  <c r="A51" i="2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48" i="2"/>
  <c r="G48" i="2"/>
  <c r="F48" i="2"/>
  <c r="E48" i="2"/>
  <c r="D48" i="2"/>
  <c r="C48" i="2"/>
  <c r="B48" i="2"/>
  <c r="A48" i="2"/>
  <c r="H47" i="2"/>
  <c r="G47" i="2"/>
  <c r="F47" i="2"/>
  <c r="E47" i="2"/>
  <c r="D47" i="2"/>
  <c r="C47" i="2"/>
  <c r="B47" i="2"/>
  <c r="A47" i="2"/>
  <c r="H46" i="2"/>
  <c r="G46" i="2"/>
  <c r="F46" i="2"/>
  <c r="E46" i="2"/>
  <c r="D46" i="2"/>
  <c r="C46" i="2"/>
  <c r="B46" i="2"/>
  <c r="A46" i="2"/>
  <c r="H45" i="2"/>
  <c r="G45" i="2"/>
  <c r="F45" i="2"/>
  <c r="E45" i="2"/>
  <c r="D45" i="2"/>
  <c r="C45" i="2"/>
  <c r="B45" i="2"/>
  <c r="A45" i="2"/>
  <c r="H44" i="2"/>
  <c r="G44" i="2"/>
  <c r="F44" i="2"/>
  <c r="E44" i="2"/>
  <c r="D44" i="2"/>
  <c r="C44" i="2"/>
  <c r="B44" i="2"/>
  <c r="A44" i="2"/>
  <c r="H43" i="2"/>
  <c r="G43" i="2"/>
  <c r="F43" i="2"/>
  <c r="E43" i="2"/>
  <c r="D43" i="2"/>
  <c r="C43" i="2"/>
  <c r="B43" i="2"/>
  <c r="A43" i="2"/>
  <c r="H42" i="2"/>
  <c r="G42" i="2"/>
  <c r="F42" i="2"/>
  <c r="E42" i="2"/>
  <c r="D42" i="2"/>
  <c r="C42" i="2"/>
  <c r="B42" i="2"/>
  <c r="A42" i="2"/>
  <c r="H41" i="2"/>
  <c r="G41" i="2"/>
  <c r="F41" i="2"/>
  <c r="E41" i="2"/>
  <c r="D41" i="2"/>
  <c r="C41" i="2"/>
  <c r="B41" i="2"/>
  <c r="A41" i="2"/>
  <c r="H40" i="2"/>
  <c r="G40" i="2"/>
  <c r="F40" i="2"/>
  <c r="E40" i="2"/>
  <c r="D40" i="2"/>
  <c r="C40" i="2"/>
  <c r="B40" i="2"/>
  <c r="A40" i="2"/>
  <c r="H39" i="2"/>
  <c r="G39" i="2"/>
  <c r="F39" i="2"/>
  <c r="E39" i="2"/>
  <c r="D39" i="2"/>
  <c r="C39" i="2"/>
  <c r="B39" i="2"/>
  <c r="A39" i="2"/>
  <c r="H38" i="2"/>
  <c r="G38" i="2"/>
  <c r="F38" i="2"/>
  <c r="E38" i="2"/>
  <c r="D38" i="2"/>
  <c r="C38" i="2"/>
  <c r="B38" i="2"/>
  <c r="A38" i="2"/>
  <c r="H37" i="2"/>
  <c r="G37" i="2"/>
  <c r="F37" i="2"/>
  <c r="E37" i="2"/>
  <c r="D37" i="2"/>
  <c r="C37" i="2"/>
  <c r="B37" i="2"/>
  <c r="A37" i="2"/>
  <c r="H36" i="2"/>
  <c r="G36" i="2"/>
  <c r="F36" i="2"/>
  <c r="E36" i="2"/>
  <c r="D36" i="2"/>
  <c r="C36" i="2"/>
  <c r="B36" i="2"/>
  <c r="A36" i="2"/>
  <c r="H35" i="2"/>
  <c r="G35" i="2"/>
  <c r="F35" i="2"/>
  <c r="E35" i="2"/>
  <c r="D35" i="2"/>
  <c r="C35" i="2"/>
  <c r="B35" i="2"/>
  <c r="A35" i="2"/>
  <c r="H34" i="2"/>
  <c r="G34" i="2"/>
  <c r="F34" i="2"/>
  <c r="E34" i="2"/>
  <c r="D34" i="2"/>
  <c r="C34" i="2"/>
  <c r="B34" i="2"/>
  <c r="A34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31" i="2"/>
  <c r="G31" i="2"/>
  <c r="F31" i="2"/>
  <c r="E31" i="2"/>
  <c r="D31" i="2"/>
  <c r="C31" i="2"/>
  <c r="B31" i="2"/>
  <c r="A31" i="2"/>
  <c r="H30" i="2"/>
  <c r="G30" i="2"/>
  <c r="F30" i="2"/>
  <c r="E30" i="2"/>
  <c r="D30" i="2"/>
  <c r="C30" i="2"/>
  <c r="B30" i="2"/>
  <c r="A30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D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E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H8" i="2"/>
  <c r="G8" i="2"/>
  <c r="F8" i="2"/>
  <c r="E8" i="2"/>
  <c r="D8" i="2"/>
  <c r="C8" i="2"/>
  <c r="B8" i="2"/>
  <c r="A8" i="2"/>
  <c r="H7" i="2"/>
  <c r="G7" i="2"/>
  <c r="F7" i="2"/>
  <c r="E7" i="2"/>
  <c r="D7" i="2"/>
  <c r="C7" i="2"/>
  <c r="B7" i="2"/>
  <c r="A7" i="2"/>
  <c r="H6" i="2"/>
  <c r="G6" i="2"/>
  <c r="F6" i="2"/>
  <c r="E6" i="2"/>
  <c r="D6" i="2"/>
  <c r="C6" i="2"/>
  <c r="B6" i="2"/>
  <c r="A6" i="2"/>
  <c r="H5" i="2"/>
  <c r="G5" i="2"/>
  <c r="F5" i="2"/>
  <c r="E5" i="2"/>
  <c r="D5" i="2"/>
  <c r="C5" i="2"/>
  <c r="B5" i="2"/>
  <c r="A5" i="2"/>
  <c r="H4" i="2"/>
  <c r="G4" i="2"/>
  <c r="F4" i="2"/>
  <c r="E4" i="2"/>
  <c r="D4" i="2"/>
  <c r="C4" i="2"/>
  <c r="B4" i="2"/>
  <c r="A4" i="2"/>
  <c r="H3" i="2"/>
  <c r="G3" i="2"/>
  <c r="F3" i="2"/>
  <c r="E3" i="2"/>
  <c r="D3" i="2"/>
  <c r="C3" i="2"/>
  <c r="B3" i="2"/>
  <c r="A3" i="2"/>
  <c r="H2" i="2"/>
  <c r="G2" i="2"/>
  <c r="F2" i="2"/>
  <c r="E2" i="2"/>
  <c r="D2" i="2"/>
  <c r="C2" i="2"/>
  <c r="B2" i="2"/>
  <c r="A2" i="2"/>
  <c r="H1" i="2"/>
  <c r="G1" i="2"/>
  <c r="F1" i="2"/>
  <c r="E1" i="2"/>
  <c r="D1" i="2"/>
  <c r="C1" i="2"/>
  <c r="B1" i="2"/>
  <c r="A1" i="2"/>
  <c r="L42" i="3" l="1"/>
  <c r="H42" i="3" s="1"/>
  <c r="L58" i="3"/>
  <c r="H58" i="3" s="1"/>
  <c r="L122" i="3"/>
  <c r="H122" i="3" s="1"/>
  <c r="L186" i="3"/>
  <c r="H186" i="3" s="1"/>
  <c r="L314" i="3"/>
  <c r="H314" i="3" s="1"/>
  <c r="L250" i="3"/>
  <c r="H250" i="3" s="1"/>
  <c r="L322" i="3"/>
  <c r="H322" i="3" s="1"/>
  <c r="L258" i="3"/>
  <c r="H258" i="3" s="1"/>
  <c r="L194" i="3"/>
  <c r="H194" i="3" s="1"/>
  <c r="L130" i="3"/>
  <c r="H130" i="3" s="1"/>
  <c r="L66" i="3"/>
  <c r="H66" i="3" s="1"/>
  <c r="L306" i="3"/>
  <c r="H306" i="3" s="1"/>
  <c r="L245" i="3"/>
  <c r="H245" i="3" s="1"/>
  <c r="L178" i="3"/>
  <c r="H178" i="3" s="1"/>
  <c r="L114" i="3"/>
  <c r="H114" i="3" s="1"/>
  <c r="L50" i="3"/>
  <c r="H50" i="3" s="1"/>
  <c r="L298" i="3"/>
  <c r="H298" i="3" s="1"/>
  <c r="L214" i="3"/>
  <c r="H214" i="3" s="1"/>
  <c r="L170" i="3"/>
  <c r="H170" i="3" s="1"/>
  <c r="L106" i="3"/>
  <c r="H106" i="3" s="1"/>
  <c r="L7" i="3"/>
  <c r="H7" i="3" s="1"/>
  <c r="L354" i="3"/>
  <c r="H354" i="3" s="1"/>
  <c r="L290" i="3"/>
  <c r="H290" i="3" s="1"/>
  <c r="L211" i="3"/>
  <c r="H211" i="3" s="1"/>
  <c r="L162" i="3"/>
  <c r="H162" i="3" s="1"/>
  <c r="L98" i="3"/>
  <c r="H98" i="3" s="1"/>
  <c r="L34" i="3"/>
  <c r="H34" i="3" s="1"/>
  <c r="L346" i="3"/>
  <c r="H346" i="3" s="1"/>
  <c r="L282" i="3"/>
  <c r="H282" i="3" s="1"/>
  <c r="L216" i="3"/>
  <c r="H216" i="3" s="1"/>
  <c r="L154" i="3"/>
  <c r="H154" i="3" s="1"/>
  <c r="L90" i="3"/>
  <c r="H90" i="3" s="1"/>
  <c r="L26" i="3"/>
  <c r="H26" i="3" s="1"/>
  <c r="L338" i="3"/>
  <c r="H338" i="3" s="1"/>
  <c r="L274" i="3"/>
  <c r="H274" i="3" s="1"/>
  <c r="L224" i="3"/>
  <c r="H224" i="3" s="1"/>
  <c r="L146" i="3"/>
  <c r="H146" i="3" s="1"/>
  <c r="L82" i="3"/>
  <c r="H82" i="3" s="1"/>
  <c r="L18" i="3"/>
  <c r="H18" i="3" s="1"/>
  <c r="L330" i="3"/>
  <c r="H330" i="3" s="1"/>
  <c r="L266" i="3"/>
  <c r="H266" i="3" s="1"/>
  <c r="L202" i="3"/>
  <c r="H202" i="3" s="1"/>
  <c r="L138" i="3"/>
  <c r="H138" i="3" s="1"/>
  <c r="L74" i="3"/>
  <c r="H74" i="3" s="1"/>
  <c r="L10" i="3"/>
  <c r="H10" i="3" s="1"/>
  <c r="L353" i="3"/>
  <c r="H353" i="3" s="1"/>
  <c r="L345" i="3"/>
  <c r="H345" i="3" s="1"/>
  <c r="L337" i="3"/>
  <c r="H337" i="3" s="1"/>
  <c r="L329" i="3"/>
  <c r="H329" i="3" s="1"/>
  <c r="L321" i="3"/>
  <c r="H321" i="3" s="1"/>
  <c r="L313" i="3"/>
  <c r="H313" i="3" s="1"/>
  <c r="L305" i="3"/>
  <c r="H305" i="3" s="1"/>
  <c r="L297" i="3"/>
  <c r="H297" i="3" s="1"/>
  <c r="L289" i="3"/>
  <c r="H289" i="3" s="1"/>
  <c r="L281" i="3"/>
  <c r="H281" i="3" s="1"/>
  <c r="L273" i="3"/>
  <c r="H273" i="3" s="1"/>
  <c r="L265" i="3"/>
  <c r="H265" i="3" s="1"/>
  <c r="L257" i="3"/>
  <c r="H257" i="3" s="1"/>
  <c r="L249" i="3"/>
  <c r="H249" i="3" s="1"/>
  <c r="L243" i="3"/>
  <c r="H243" i="3" s="1"/>
  <c r="L219" i="3"/>
  <c r="H219" i="3" s="1"/>
  <c r="L217" i="3"/>
  <c r="H217" i="3" s="1"/>
  <c r="L230" i="3"/>
  <c r="H230" i="3" s="1"/>
  <c r="L226" i="3"/>
  <c r="H226" i="3" s="1"/>
  <c r="L201" i="3"/>
  <c r="H201" i="3" s="1"/>
  <c r="L193" i="3"/>
  <c r="H193" i="3" s="1"/>
  <c r="L185" i="3"/>
  <c r="H185" i="3" s="1"/>
  <c r="L177" i="3"/>
  <c r="H177" i="3" s="1"/>
  <c r="L169" i="3"/>
  <c r="H169" i="3" s="1"/>
  <c r="L161" i="3"/>
  <c r="H161" i="3" s="1"/>
  <c r="L153" i="3"/>
  <c r="H153" i="3" s="1"/>
  <c r="L145" i="3"/>
  <c r="H145" i="3" s="1"/>
  <c r="L137" i="3"/>
  <c r="H137" i="3" s="1"/>
  <c r="L129" i="3"/>
  <c r="H129" i="3" s="1"/>
  <c r="L121" i="3"/>
  <c r="H121" i="3" s="1"/>
  <c r="L113" i="3"/>
  <c r="H113" i="3" s="1"/>
  <c r="L105" i="3"/>
  <c r="H105" i="3" s="1"/>
  <c r="L97" i="3"/>
  <c r="H97" i="3" s="1"/>
  <c r="L89" i="3"/>
  <c r="H89" i="3" s="1"/>
  <c r="L81" i="3"/>
  <c r="H81" i="3" s="1"/>
  <c r="L73" i="3"/>
  <c r="H73" i="3" s="1"/>
  <c r="L65" i="3"/>
  <c r="H65" i="3" s="1"/>
  <c r="L57" i="3"/>
  <c r="H57" i="3" s="1"/>
  <c r="L49" i="3"/>
  <c r="H49" i="3" s="1"/>
  <c r="L41" i="3"/>
  <c r="H41" i="3" s="1"/>
  <c r="L33" i="3"/>
  <c r="H33" i="3" s="1"/>
  <c r="L25" i="3"/>
  <c r="H25" i="3" s="1"/>
  <c r="L17" i="3"/>
  <c r="H17" i="3" s="1"/>
  <c r="L9" i="3"/>
  <c r="H9" i="3" s="1"/>
  <c r="L352" i="3"/>
  <c r="H352" i="3" s="1"/>
  <c r="L344" i="3"/>
  <c r="H344" i="3" s="1"/>
  <c r="L336" i="3"/>
  <c r="H336" i="3" s="1"/>
  <c r="L328" i="3"/>
  <c r="H328" i="3" s="1"/>
  <c r="L320" i="3"/>
  <c r="H320" i="3" s="1"/>
  <c r="L312" i="3"/>
  <c r="H312" i="3" s="1"/>
  <c r="L304" i="3"/>
  <c r="H304" i="3" s="1"/>
  <c r="L296" i="3"/>
  <c r="H296" i="3" s="1"/>
  <c r="L288" i="3"/>
  <c r="H288" i="3" s="1"/>
  <c r="L280" i="3"/>
  <c r="H280" i="3" s="1"/>
  <c r="L272" i="3"/>
  <c r="H272" i="3" s="1"/>
  <c r="L264" i="3"/>
  <c r="H264" i="3" s="1"/>
  <c r="L256" i="3"/>
  <c r="H256" i="3" s="1"/>
  <c r="L248" i="3"/>
  <c r="H248" i="3" s="1"/>
  <c r="L239" i="3"/>
  <c r="H239" i="3" s="1"/>
  <c r="L234" i="3"/>
  <c r="H234" i="3" s="1"/>
  <c r="L232" i="3"/>
  <c r="H232" i="3" s="1"/>
  <c r="L244" i="3"/>
  <c r="H244" i="3" s="1"/>
  <c r="L223" i="3"/>
  <c r="H223" i="3" s="1"/>
  <c r="L200" i="3"/>
  <c r="H200" i="3" s="1"/>
  <c r="L192" i="3"/>
  <c r="H192" i="3" s="1"/>
  <c r="L184" i="3"/>
  <c r="H184" i="3" s="1"/>
  <c r="L176" i="3"/>
  <c r="H176" i="3" s="1"/>
  <c r="L168" i="3"/>
  <c r="H168" i="3" s="1"/>
  <c r="L160" i="3"/>
  <c r="H160" i="3" s="1"/>
  <c r="L152" i="3"/>
  <c r="H152" i="3" s="1"/>
  <c r="L144" i="3"/>
  <c r="H144" i="3" s="1"/>
  <c r="L136" i="3"/>
  <c r="H136" i="3" s="1"/>
  <c r="L128" i="3"/>
  <c r="H128" i="3" s="1"/>
  <c r="L120" i="3"/>
  <c r="H120" i="3" s="1"/>
  <c r="L112" i="3"/>
  <c r="H112" i="3" s="1"/>
  <c r="L104" i="3"/>
  <c r="H104" i="3" s="1"/>
  <c r="L96" i="3"/>
  <c r="H96" i="3" s="1"/>
  <c r="L88" i="3"/>
  <c r="H88" i="3" s="1"/>
  <c r="L80" i="3"/>
  <c r="H80" i="3" s="1"/>
  <c r="L72" i="3"/>
  <c r="H72" i="3" s="1"/>
  <c r="L64" i="3"/>
  <c r="H64" i="3" s="1"/>
  <c r="L56" i="3"/>
  <c r="H56" i="3" s="1"/>
  <c r="L48" i="3"/>
  <c r="H48" i="3" s="1"/>
  <c r="L40" i="3"/>
  <c r="H40" i="3" s="1"/>
  <c r="L32" i="3"/>
  <c r="H32" i="3" s="1"/>
  <c r="L24" i="3"/>
  <c r="H24" i="3" s="1"/>
  <c r="L16" i="3"/>
  <c r="H16" i="3" s="1"/>
  <c r="L8" i="3"/>
  <c r="H8" i="3" s="1"/>
  <c r="L351" i="3"/>
  <c r="H351" i="3" s="1"/>
  <c r="L343" i="3"/>
  <c r="H343" i="3" s="1"/>
  <c r="L335" i="3"/>
  <c r="H335" i="3" s="1"/>
  <c r="L327" i="3"/>
  <c r="H327" i="3" s="1"/>
  <c r="L319" i="3"/>
  <c r="H319" i="3" s="1"/>
  <c r="L311" i="3"/>
  <c r="H311" i="3" s="1"/>
  <c r="L303" i="3"/>
  <c r="H303" i="3" s="1"/>
  <c r="L295" i="3"/>
  <c r="H295" i="3" s="1"/>
  <c r="L287" i="3"/>
  <c r="H287" i="3" s="1"/>
  <c r="L279" i="3"/>
  <c r="H279" i="3" s="1"/>
  <c r="L271" i="3"/>
  <c r="H271" i="3" s="1"/>
  <c r="L263" i="3"/>
  <c r="H263" i="3" s="1"/>
  <c r="L255" i="3"/>
  <c r="H255" i="3" s="1"/>
  <c r="L229" i="3"/>
  <c r="H229" i="3" s="1"/>
  <c r="L221" i="3"/>
  <c r="H221" i="3" s="1"/>
  <c r="L242" i="3"/>
  <c r="H242" i="3" s="1"/>
  <c r="L209" i="3"/>
  <c r="H209" i="3" s="1"/>
  <c r="L231" i="3"/>
  <c r="H231" i="3" s="1"/>
  <c r="L218" i="3"/>
  <c r="H218" i="3" s="1"/>
  <c r="L199" i="3"/>
  <c r="H199" i="3" s="1"/>
  <c r="L191" i="3"/>
  <c r="H191" i="3" s="1"/>
  <c r="L183" i="3"/>
  <c r="H183" i="3" s="1"/>
  <c r="L175" i="3"/>
  <c r="H175" i="3" s="1"/>
  <c r="L167" i="3"/>
  <c r="H167" i="3" s="1"/>
  <c r="L159" i="3"/>
  <c r="H159" i="3" s="1"/>
  <c r="L151" i="3"/>
  <c r="H151" i="3" s="1"/>
  <c r="L143" i="3"/>
  <c r="H143" i="3" s="1"/>
  <c r="L135" i="3"/>
  <c r="H135" i="3" s="1"/>
  <c r="L127" i="3"/>
  <c r="H127" i="3" s="1"/>
  <c r="L119" i="3"/>
  <c r="H119" i="3" s="1"/>
  <c r="L111" i="3"/>
  <c r="H111" i="3" s="1"/>
  <c r="L103" i="3"/>
  <c r="H103" i="3" s="1"/>
  <c r="L95" i="3"/>
  <c r="H95" i="3" s="1"/>
  <c r="L87" i="3"/>
  <c r="H87" i="3" s="1"/>
  <c r="L79" i="3"/>
  <c r="H79" i="3" s="1"/>
  <c r="L71" i="3"/>
  <c r="H71" i="3" s="1"/>
  <c r="L63" i="3"/>
  <c r="H63" i="3" s="1"/>
  <c r="L55" i="3"/>
  <c r="H55" i="3" s="1"/>
  <c r="L47" i="3"/>
  <c r="H47" i="3" s="1"/>
  <c r="L39" i="3"/>
  <c r="H39" i="3" s="1"/>
  <c r="L31" i="3"/>
  <c r="H31" i="3" s="1"/>
  <c r="L23" i="3"/>
  <c r="H23" i="3" s="1"/>
  <c r="L15" i="3"/>
  <c r="H15" i="3" s="1"/>
  <c r="K7" i="3"/>
  <c r="G7" i="3" s="1"/>
  <c r="L358" i="3"/>
  <c r="H358" i="3" s="1"/>
  <c r="L350" i="3"/>
  <c r="H350" i="3" s="1"/>
  <c r="L342" i="3"/>
  <c r="H342" i="3" s="1"/>
  <c r="L334" i="3"/>
  <c r="H334" i="3" s="1"/>
  <c r="L326" i="3"/>
  <c r="H326" i="3" s="1"/>
  <c r="L318" i="3"/>
  <c r="H318" i="3" s="1"/>
  <c r="L310" i="3"/>
  <c r="H310" i="3" s="1"/>
  <c r="L302" i="3"/>
  <c r="H302" i="3" s="1"/>
  <c r="L294" i="3"/>
  <c r="H294" i="3" s="1"/>
  <c r="L286" i="3"/>
  <c r="H286" i="3" s="1"/>
  <c r="L278" i="3"/>
  <c r="H278" i="3" s="1"/>
  <c r="L270" i="3"/>
  <c r="H270" i="3" s="1"/>
  <c r="L262" i="3"/>
  <c r="H262" i="3" s="1"/>
  <c r="L254" i="3"/>
  <c r="H254" i="3" s="1"/>
  <c r="L215" i="3"/>
  <c r="H215" i="3" s="1"/>
  <c r="L222" i="3"/>
  <c r="H222" i="3" s="1"/>
  <c r="L247" i="3"/>
  <c r="H247" i="3" s="1"/>
  <c r="L235" i="3"/>
  <c r="H235" i="3" s="1"/>
  <c r="L246" i="3"/>
  <c r="H246" i="3" s="1"/>
  <c r="L213" i="3"/>
  <c r="H213" i="3" s="1"/>
  <c r="L198" i="3"/>
  <c r="H198" i="3" s="1"/>
  <c r="L190" i="3"/>
  <c r="H190" i="3" s="1"/>
  <c r="L182" i="3"/>
  <c r="H182" i="3" s="1"/>
  <c r="L174" i="3"/>
  <c r="H174" i="3" s="1"/>
  <c r="L166" i="3"/>
  <c r="H166" i="3" s="1"/>
  <c r="L158" i="3"/>
  <c r="H158" i="3" s="1"/>
  <c r="L150" i="3"/>
  <c r="H150" i="3" s="1"/>
  <c r="L142" i="3"/>
  <c r="H142" i="3" s="1"/>
  <c r="L134" i="3"/>
  <c r="H134" i="3" s="1"/>
  <c r="L126" i="3"/>
  <c r="H126" i="3" s="1"/>
  <c r="L118" i="3"/>
  <c r="H118" i="3" s="1"/>
  <c r="L110" i="3"/>
  <c r="H110" i="3" s="1"/>
  <c r="L102" i="3"/>
  <c r="H102" i="3" s="1"/>
  <c r="L94" i="3"/>
  <c r="H94" i="3" s="1"/>
  <c r="L86" i="3"/>
  <c r="H86" i="3" s="1"/>
  <c r="L78" i="3"/>
  <c r="H78" i="3" s="1"/>
  <c r="L70" i="3"/>
  <c r="H70" i="3" s="1"/>
  <c r="L62" i="3"/>
  <c r="H62" i="3" s="1"/>
  <c r="L54" i="3"/>
  <c r="H54" i="3" s="1"/>
  <c r="L46" i="3"/>
  <c r="H46" i="3" s="1"/>
  <c r="L38" i="3"/>
  <c r="H38" i="3" s="1"/>
  <c r="L30" i="3"/>
  <c r="H30" i="3" s="1"/>
  <c r="L22" i="3"/>
  <c r="H22" i="3" s="1"/>
  <c r="L14" i="3"/>
  <c r="H14" i="3" s="1"/>
  <c r="L6" i="3"/>
  <c r="H6" i="3" s="1"/>
  <c r="L357" i="3"/>
  <c r="H357" i="3" s="1"/>
  <c r="L349" i="3"/>
  <c r="H349" i="3" s="1"/>
  <c r="L341" i="3"/>
  <c r="H341" i="3" s="1"/>
  <c r="L333" i="3"/>
  <c r="H333" i="3" s="1"/>
  <c r="L325" i="3"/>
  <c r="H325" i="3" s="1"/>
  <c r="L317" i="3"/>
  <c r="H317" i="3" s="1"/>
  <c r="L309" i="3"/>
  <c r="H309" i="3" s="1"/>
  <c r="L301" i="3"/>
  <c r="H301" i="3" s="1"/>
  <c r="L293" i="3"/>
  <c r="H293" i="3" s="1"/>
  <c r="L285" i="3"/>
  <c r="H285" i="3" s="1"/>
  <c r="L277" i="3"/>
  <c r="H277" i="3" s="1"/>
  <c r="L269" i="3"/>
  <c r="H269" i="3" s="1"/>
  <c r="L261" i="3"/>
  <c r="H261" i="3" s="1"/>
  <c r="L253" i="3"/>
  <c r="H253" i="3" s="1"/>
  <c r="L220" i="3"/>
  <c r="H220" i="3" s="1"/>
  <c r="L228" i="3"/>
  <c r="H228" i="3" s="1"/>
  <c r="L212" i="3"/>
  <c r="H212" i="3" s="1"/>
  <c r="L237" i="3"/>
  <c r="H237" i="3" s="1"/>
  <c r="L240" i="3"/>
  <c r="H240" i="3" s="1"/>
  <c r="L205" i="3"/>
  <c r="H205" i="3" s="1"/>
  <c r="L197" i="3"/>
  <c r="H197" i="3" s="1"/>
  <c r="L189" i="3"/>
  <c r="H189" i="3" s="1"/>
  <c r="L181" i="3"/>
  <c r="H181" i="3" s="1"/>
  <c r="L173" i="3"/>
  <c r="H173" i="3" s="1"/>
  <c r="L165" i="3"/>
  <c r="H165" i="3" s="1"/>
  <c r="L157" i="3"/>
  <c r="H157" i="3" s="1"/>
  <c r="L149" i="3"/>
  <c r="H149" i="3" s="1"/>
  <c r="L141" i="3"/>
  <c r="H141" i="3" s="1"/>
  <c r="L133" i="3"/>
  <c r="H133" i="3" s="1"/>
  <c r="L125" i="3"/>
  <c r="H125" i="3" s="1"/>
  <c r="L117" i="3"/>
  <c r="H117" i="3" s="1"/>
  <c r="L109" i="3"/>
  <c r="H109" i="3" s="1"/>
  <c r="L101" i="3"/>
  <c r="H101" i="3" s="1"/>
  <c r="L93" i="3"/>
  <c r="H93" i="3" s="1"/>
  <c r="L85" i="3"/>
  <c r="H85" i="3" s="1"/>
  <c r="L77" i="3"/>
  <c r="H77" i="3" s="1"/>
  <c r="L69" i="3"/>
  <c r="H69" i="3" s="1"/>
  <c r="L61" i="3"/>
  <c r="H61" i="3" s="1"/>
  <c r="L53" i="3"/>
  <c r="H53" i="3" s="1"/>
  <c r="L45" i="3"/>
  <c r="H45" i="3" s="1"/>
  <c r="L37" i="3"/>
  <c r="H37" i="3" s="1"/>
  <c r="L29" i="3"/>
  <c r="H29" i="3" s="1"/>
  <c r="L21" i="3"/>
  <c r="H21" i="3" s="1"/>
  <c r="L13" i="3"/>
  <c r="H13" i="3" s="1"/>
  <c r="L5" i="3"/>
  <c r="H5" i="3" s="1"/>
  <c r="L356" i="3"/>
  <c r="H356" i="3" s="1"/>
  <c r="L348" i="3"/>
  <c r="H348" i="3" s="1"/>
  <c r="L340" i="3"/>
  <c r="H340" i="3" s="1"/>
  <c r="L332" i="3"/>
  <c r="H332" i="3" s="1"/>
  <c r="L324" i="3"/>
  <c r="H324" i="3" s="1"/>
  <c r="L316" i="3"/>
  <c r="H316" i="3" s="1"/>
  <c r="L308" i="3"/>
  <c r="H308" i="3" s="1"/>
  <c r="L300" i="3"/>
  <c r="H300" i="3" s="1"/>
  <c r="L292" i="3"/>
  <c r="H292" i="3" s="1"/>
  <c r="L284" i="3"/>
  <c r="H284" i="3" s="1"/>
  <c r="L276" i="3"/>
  <c r="H276" i="3" s="1"/>
  <c r="L268" i="3"/>
  <c r="H268" i="3" s="1"/>
  <c r="L260" i="3"/>
  <c r="H260" i="3" s="1"/>
  <c r="L252" i="3"/>
  <c r="H252" i="3" s="1"/>
  <c r="L238" i="3"/>
  <c r="H238" i="3" s="1"/>
  <c r="L241" i="3"/>
  <c r="H241" i="3" s="1"/>
  <c r="L233" i="3"/>
  <c r="H233" i="3" s="1"/>
  <c r="L236" i="3"/>
  <c r="H236" i="3" s="1"/>
  <c r="L208" i="3"/>
  <c r="H208" i="3" s="1"/>
  <c r="L204" i="3"/>
  <c r="H204" i="3" s="1"/>
  <c r="L196" i="3"/>
  <c r="H196" i="3" s="1"/>
  <c r="L188" i="3"/>
  <c r="H188" i="3" s="1"/>
  <c r="L180" i="3"/>
  <c r="H180" i="3" s="1"/>
  <c r="L172" i="3"/>
  <c r="H172" i="3" s="1"/>
  <c r="L164" i="3"/>
  <c r="H164" i="3" s="1"/>
  <c r="L156" i="3"/>
  <c r="H156" i="3" s="1"/>
  <c r="L148" i="3"/>
  <c r="H148" i="3" s="1"/>
  <c r="L140" i="3"/>
  <c r="H140" i="3" s="1"/>
  <c r="L132" i="3"/>
  <c r="H132" i="3" s="1"/>
  <c r="L124" i="3"/>
  <c r="H124" i="3" s="1"/>
  <c r="L116" i="3"/>
  <c r="H116" i="3" s="1"/>
  <c r="L108" i="3"/>
  <c r="H108" i="3" s="1"/>
  <c r="L100" i="3"/>
  <c r="H100" i="3" s="1"/>
  <c r="L92" i="3"/>
  <c r="H92" i="3" s="1"/>
  <c r="L84" i="3"/>
  <c r="H84" i="3" s="1"/>
  <c r="L76" i="3"/>
  <c r="H76" i="3" s="1"/>
  <c r="L68" i="3"/>
  <c r="H68" i="3" s="1"/>
  <c r="L60" i="3"/>
  <c r="H60" i="3" s="1"/>
  <c r="L52" i="3"/>
  <c r="H52" i="3" s="1"/>
  <c r="L44" i="3"/>
  <c r="H44" i="3" s="1"/>
  <c r="L36" i="3"/>
  <c r="H36" i="3" s="1"/>
  <c r="L28" i="3"/>
  <c r="H28" i="3" s="1"/>
  <c r="L20" i="3"/>
  <c r="H20" i="3" s="1"/>
  <c r="L12" i="3"/>
  <c r="H12" i="3" s="1"/>
  <c r="L4" i="3"/>
  <c r="H4" i="3" s="1"/>
  <c r="L355" i="3"/>
  <c r="H355" i="3" s="1"/>
  <c r="L347" i="3"/>
  <c r="H347" i="3" s="1"/>
  <c r="L339" i="3"/>
  <c r="H339" i="3" s="1"/>
  <c r="L331" i="3"/>
  <c r="H331" i="3" s="1"/>
  <c r="L323" i="3"/>
  <c r="H323" i="3" s="1"/>
  <c r="L315" i="3"/>
  <c r="H315" i="3" s="1"/>
  <c r="L307" i="3"/>
  <c r="H307" i="3" s="1"/>
  <c r="L299" i="3"/>
  <c r="H299" i="3" s="1"/>
  <c r="L291" i="3"/>
  <c r="H291" i="3" s="1"/>
  <c r="L283" i="3"/>
  <c r="H283" i="3" s="1"/>
  <c r="L275" i="3"/>
  <c r="H275" i="3" s="1"/>
  <c r="L267" i="3"/>
  <c r="H267" i="3" s="1"/>
  <c r="L259" i="3"/>
  <c r="H259" i="3" s="1"/>
  <c r="L251" i="3"/>
  <c r="H251" i="3" s="1"/>
  <c r="L207" i="3"/>
  <c r="H207" i="3" s="1"/>
  <c r="L210" i="3"/>
  <c r="H210" i="3" s="1"/>
  <c r="L227" i="3"/>
  <c r="H227" i="3" s="1"/>
  <c r="L225" i="3"/>
  <c r="H225" i="3" s="1"/>
  <c r="L206" i="3"/>
  <c r="H206" i="3" s="1"/>
  <c r="L203" i="3"/>
  <c r="H203" i="3" s="1"/>
  <c r="L195" i="3"/>
  <c r="H195" i="3" s="1"/>
  <c r="L187" i="3"/>
  <c r="H187" i="3" s="1"/>
  <c r="L179" i="3"/>
  <c r="H179" i="3" s="1"/>
  <c r="L171" i="3"/>
  <c r="H171" i="3" s="1"/>
  <c r="L163" i="3"/>
  <c r="H163" i="3" s="1"/>
  <c r="L155" i="3"/>
  <c r="H155" i="3" s="1"/>
  <c r="L147" i="3"/>
  <c r="H147" i="3" s="1"/>
  <c r="L139" i="3"/>
  <c r="H139" i="3" s="1"/>
  <c r="L131" i="3"/>
  <c r="H131" i="3" s="1"/>
  <c r="L123" i="3"/>
  <c r="H123" i="3" s="1"/>
  <c r="L115" i="3"/>
  <c r="H115" i="3" s="1"/>
  <c r="L107" i="3"/>
  <c r="H107" i="3" s="1"/>
  <c r="L99" i="3"/>
  <c r="H99" i="3" s="1"/>
  <c r="L91" i="3"/>
  <c r="H91" i="3" s="1"/>
  <c r="L83" i="3"/>
  <c r="H83" i="3" s="1"/>
  <c r="L75" i="3"/>
  <c r="H75" i="3" s="1"/>
  <c r="L67" i="3"/>
  <c r="H67" i="3" s="1"/>
  <c r="L59" i="3"/>
  <c r="H59" i="3" s="1"/>
  <c r="L51" i="3"/>
  <c r="H51" i="3" s="1"/>
  <c r="L43" i="3"/>
  <c r="H43" i="3" s="1"/>
  <c r="L35" i="3"/>
  <c r="H35" i="3" s="1"/>
  <c r="L27" i="3"/>
  <c r="H27" i="3" s="1"/>
  <c r="L19" i="3"/>
  <c r="H19" i="3" s="1"/>
  <c r="L11" i="3"/>
  <c r="H11" i="3" s="1"/>
  <c r="L3" i="3"/>
  <c r="H3" i="3" s="1"/>
  <c r="L2" i="3"/>
  <c r="H2" i="3" s="1"/>
  <c r="K297" i="3"/>
  <c r="G297" i="3" s="1"/>
  <c r="K243" i="3"/>
  <c r="G243" i="3" s="1"/>
  <c r="K177" i="3"/>
  <c r="G177" i="3" s="1"/>
  <c r="K114" i="3"/>
  <c r="G114" i="3" s="1"/>
  <c r="K57" i="3"/>
  <c r="G57" i="3" s="1"/>
  <c r="K353" i="3"/>
  <c r="G353" i="3" s="1"/>
  <c r="K289" i="3"/>
  <c r="G289" i="3" s="1"/>
  <c r="K219" i="3"/>
  <c r="G219" i="3" s="1"/>
  <c r="K169" i="3"/>
  <c r="G169" i="3" s="1"/>
  <c r="K113" i="3"/>
  <c r="G113" i="3" s="1"/>
  <c r="K49" i="3"/>
  <c r="G49" i="3" s="1"/>
  <c r="K345" i="3"/>
  <c r="G345" i="3" s="1"/>
  <c r="K281" i="3"/>
  <c r="G281" i="3" s="1"/>
  <c r="K217" i="3"/>
  <c r="G217" i="3" s="1"/>
  <c r="K161" i="3"/>
  <c r="G161" i="3" s="1"/>
  <c r="K105" i="3"/>
  <c r="G105" i="3" s="1"/>
  <c r="K41" i="3"/>
  <c r="G41" i="3" s="1"/>
  <c r="K337" i="3"/>
  <c r="G337" i="3" s="1"/>
  <c r="K273" i="3"/>
  <c r="G273" i="3" s="1"/>
  <c r="K230" i="3"/>
  <c r="G230" i="3" s="1"/>
  <c r="K153" i="3"/>
  <c r="G153" i="3" s="1"/>
  <c r="K97" i="3"/>
  <c r="G97" i="3" s="1"/>
  <c r="K33" i="3"/>
  <c r="G33" i="3" s="1"/>
  <c r="K329" i="3"/>
  <c r="G329" i="3" s="1"/>
  <c r="K265" i="3"/>
  <c r="G265" i="3" s="1"/>
  <c r="K226" i="3"/>
  <c r="G226" i="3" s="1"/>
  <c r="K145" i="3"/>
  <c r="G145" i="3" s="1"/>
  <c r="K89" i="3"/>
  <c r="G89" i="3" s="1"/>
  <c r="K25" i="3"/>
  <c r="G25" i="3" s="1"/>
  <c r="K122" i="3"/>
  <c r="G122" i="3" s="1"/>
  <c r="K130" i="3"/>
  <c r="G130" i="3" s="1"/>
  <c r="K138" i="3"/>
  <c r="G138" i="3" s="1"/>
  <c r="K146" i="3"/>
  <c r="G146" i="3" s="1"/>
  <c r="K154" i="3"/>
  <c r="G154" i="3" s="1"/>
  <c r="K162" i="3"/>
  <c r="G162" i="3" s="1"/>
  <c r="K170" i="3"/>
  <c r="G170" i="3" s="1"/>
  <c r="K178" i="3"/>
  <c r="G178" i="3" s="1"/>
  <c r="K186" i="3"/>
  <c r="G186" i="3" s="1"/>
  <c r="K194" i="3"/>
  <c r="G194" i="3" s="1"/>
  <c r="K202" i="3"/>
  <c r="G202" i="3" s="1"/>
  <c r="K224" i="3"/>
  <c r="G224" i="3" s="1"/>
  <c r="K216" i="3"/>
  <c r="G216" i="3" s="1"/>
  <c r="K211" i="3"/>
  <c r="G211" i="3" s="1"/>
  <c r="K214" i="3"/>
  <c r="G214" i="3" s="1"/>
  <c r="K245" i="3"/>
  <c r="G245" i="3" s="1"/>
  <c r="K258" i="3"/>
  <c r="G258" i="3" s="1"/>
  <c r="K266" i="3"/>
  <c r="G266" i="3" s="1"/>
  <c r="K274" i="3"/>
  <c r="G274" i="3" s="1"/>
  <c r="K282" i="3"/>
  <c r="G282" i="3" s="1"/>
  <c r="K290" i="3"/>
  <c r="G290" i="3" s="1"/>
  <c r="K298" i="3"/>
  <c r="G298" i="3" s="1"/>
  <c r="K306" i="3"/>
  <c r="G306" i="3" s="1"/>
  <c r="K314" i="3"/>
  <c r="G314" i="3" s="1"/>
  <c r="K322" i="3"/>
  <c r="G322" i="3" s="1"/>
  <c r="K330" i="3"/>
  <c r="G330" i="3" s="1"/>
  <c r="K338" i="3"/>
  <c r="G338" i="3" s="1"/>
  <c r="K346" i="3"/>
  <c r="G346" i="3" s="1"/>
  <c r="K354" i="3"/>
  <c r="G354" i="3" s="1"/>
  <c r="K321" i="3"/>
  <c r="G321" i="3" s="1"/>
  <c r="K257" i="3"/>
  <c r="G257" i="3" s="1"/>
  <c r="K201" i="3"/>
  <c r="G201" i="3" s="1"/>
  <c r="K137" i="3"/>
  <c r="G137" i="3" s="1"/>
  <c r="K81" i="3"/>
  <c r="G81" i="3" s="1"/>
  <c r="K17" i="3"/>
  <c r="G17" i="3" s="1"/>
  <c r="K313" i="3"/>
  <c r="G313" i="3" s="1"/>
  <c r="K250" i="3"/>
  <c r="G250" i="3" s="1"/>
  <c r="K193" i="3"/>
  <c r="G193" i="3" s="1"/>
  <c r="K129" i="3"/>
  <c r="G129" i="3" s="1"/>
  <c r="K73" i="3"/>
  <c r="G73" i="3" s="1"/>
  <c r="K9" i="3"/>
  <c r="G9" i="3" s="1"/>
  <c r="K305" i="3"/>
  <c r="G305" i="3" s="1"/>
  <c r="K249" i="3"/>
  <c r="G249" i="3" s="1"/>
  <c r="K185" i="3"/>
  <c r="G185" i="3" s="1"/>
  <c r="K121" i="3"/>
  <c r="G121" i="3" s="1"/>
  <c r="K65" i="3"/>
  <c r="G65" i="3" s="1"/>
  <c r="K106" i="3"/>
  <c r="G106" i="3" s="1"/>
  <c r="K98" i="3"/>
  <c r="G98" i="3" s="1"/>
  <c r="K90" i="3"/>
  <c r="G90" i="3" s="1"/>
  <c r="K82" i="3"/>
  <c r="G82" i="3" s="1"/>
  <c r="K74" i="3"/>
  <c r="G74" i="3" s="1"/>
  <c r="K66" i="3"/>
  <c r="G66" i="3" s="1"/>
  <c r="K58" i="3"/>
  <c r="G58" i="3" s="1"/>
  <c r="K50" i="3"/>
  <c r="G50" i="3" s="1"/>
  <c r="K42" i="3"/>
  <c r="G42" i="3" s="1"/>
  <c r="K34" i="3"/>
  <c r="G34" i="3" s="1"/>
  <c r="K26" i="3"/>
  <c r="G26" i="3" s="1"/>
  <c r="K18" i="3"/>
  <c r="G18" i="3" s="1"/>
  <c r="K10" i="3"/>
  <c r="G10" i="3" s="1"/>
  <c r="K352" i="3"/>
  <c r="G352" i="3" s="1"/>
  <c r="K344" i="3"/>
  <c r="G344" i="3" s="1"/>
  <c r="K336" i="3"/>
  <c r="G336" i="3" s="1"/>
  <c r="K328" i="3"/>
  <c r="G328" i="3" s="1"/>
  <c r="K320" i="3"/>
  <c r="G320" i="3" s="1"/>
  <c r="K312" i="3"/>
  <c r="G312" i="3" s="1"/>
  <c r="K304" i="3"/>
  <c r="G304" i="3" s="1"/>
  <c r="K296" i="3"/>
  <c r="G296" i="3" s="1"/>
  <c r="K288" i="3"/>
  <c r="G288" i="3" s="1"/>
  <c r="K280" i="3"/>
  <c r="G280" i="3" s="1"/>
  <c r="K272" i="3"/>
  <c r="G272" i="3" s="1"/>
  <c r="K264" i="3"/>
  <c r="G264" i="3" s="1"/>
  <c r="K256" i="3"/>
  <c r="G256" i="3" s="1"/>
  <c r="K248" i="3"/>
  <c r="G248" i="3" s="1"/>
  <c r="K239" i="3"/>
  <c r="G239" i="3" s="1"/>
  <c r="K234" i="3"/>
  <c r="G234" i="3" s="1"/>
  <c r="K232" i="3"/>
  <c r="G232" i="3" s="1"/>
  <c r="K244" i="3"/>
  <c r="G244" i="3" s="1"/>
  <c r="K223" i="3"/>
  <c r="G223" i="3" s="1"/>
  <c r="K200" i="3"/>
  <c r="G200" i="3" s="1"/>
  <c r="K192" i="3"/>
  <c r="G192" i="3" s="1"/>
  <c r="K184" i="3"/>
  <c r="G184" i="3" s="1"/>
  <c r="K176" i="3"/>
  <c r="G176" i="3" s="1"/>
  <c r="K168" i="3"/>
  <c r="G168" i="3" s="1"/>
  <c r="K160" i="3"/>
  <c r="G160" i="3" s="1"/>
  <c r="K152" i="3"/>
  <c r="G152" i="3" s="1"/>
  <c r="K144" i="3"/>
  <c r="G144" i="3" s="1"/>
  <c r="K136" i="3"/>
  <c r="G136" i="3" s="1"/>
  <c r="K128" i="3"/>
  <c r="G128" i="3" s="1"/>
  <c r="K120" i="3"/>
  <c r="G120" i="3" s="1"/>
  <c r="K112" i="3"/>
  <c r="G112" i="3" s="1"/>
  <c r="K104" i="3"/>
  <c r="G104" i="3" s="1"/>
  <c r="K96" i="3"/>
  <c r="G96" i="3" s="1"/>
  <c r="K88" i="3"/>
  <c r="G88" i="3" s="1"/>
  <c r="K80" i="3"/>
  <c r="G80" i="3" s="1"/>
  <c r="K72" i="3"/>
  <c r="G72" i="3" s="1"/>
  <c r="K64" i="3"/>
  <c r="G64" i="3" s="1"/>
  <c r="K56" i="3"/>
  <c r="G56" i="3" s="1"/>
  <c r="K48" i="3"/>
  <c r="G48" i="3" s="1"/>
  <c r="K40" i="3"/>
  <c r="G40" i="3" s="1"/>
  <c r="K32" i="3"/>
  <c r="G32" i="3" s="1"/>
  <c r="K24" i="3"/>
  <c r="G24" i="3" s="1"/>
  <c r="K16" i="3"/>
  <c r="G16" i="3" s="1"/>
  <c r="K8" i="3"/>
  <c r="G8" i="3" s="1"/>
  <c r="K351" i="3"/>
  <c r="G351" i="3" s="1"/>
  <c r="K343" i="3"/>
  <c r="G343" i="3" s="1"/>
  <c r="K335" i="3"/>
  <c r="G335" i="3" s="1"/>
  <c r="K327" i="3"/>
  <c r="G327" i="3" s="1"/>
  <c r="K319" i="3"/>
  <c r="G319" i="3" s="1"/>
  <c r="K311" i="3"/>
  <c r="G311" i="3" s="1"/>
  <c r="K303" i="3"/>
  <c r="G303" i="3" s="1"/>
  <c r="K295" i="3"/>
  <c r="G295" i="3" s="1"/>
  <c r="K287" i="3"/>
  <c r="G287" i="3" s="1"/>
  <c r="K279" i="3"/>
  <c r="G279" i="3" s="1"/>
  <c r="K271" i="3"/>
  <c r="G271" i="3" s="1"/>
  <c r="K263" i="3"/>
  <c r="G263" i="3" s="1"/>
  <c r="K255" i="3"/>
  <c r="G255" i="3" s="1"/>
  <c r="K229" i="3"/>
  <c r="G229" i="3" s="1"/>
  <c r="K221" i="3"/>
  <c r="G221" i="3" s="1"/>
  <c r="K242" i="3"/>
  <c r="G242" i="3" s="1"/>
  <c r="K209" i="3"/>
  <c r="G209" i="3" s="1"/>
  <c r="K231" i="3"/>
  <c r="G231" i="3" s="1"/>
  <c r="K218" i="3"/>
  <c r="G218" i="3" s="1"/>
  <c r="K199" i="3"/>
  <c r="G199" i="3" s="1"/>
  <c r="K191" i="3"/>
  <c r="G191" i="3" s="1"/>
  <c r="K183" i="3"/>
  <c r="G183" i="3" s="1"/>
  <c r="K175" i="3"/>
  <c r="G175" i="3" s="1"/>
  <c r="K167" i="3"/>
  <c r="G167" i="3" s="1"/>
  <c r="K159" i="3"/>
  <c r="G159" i="3" s="1"/>
  <c r="K151" i="3"/>
  <c r="G151" i="3" s="1"/>
  <c r="K143" i="3"/>
  <c r="G143" i="3" s="1"/>
  <c r="K135" i="3"/>
  <c r="G135" i="3" s="1"/>
  <c r="K127" i="3"/>
  <c r="G127" i="3" s="1"/>
  <c r="K119" i="3"/>
  <c r="G119" i="3" s="1"/>
  <c r="K111" i="3"/>
  <c r="G111" i="3" s="1"/>
  <c r="K103" i="3"/>
  <c r="G103" i="3" s="1"/>
  <c r="K95" i="3"/>
  <c r="G95" i="3" s="1"/>
  <c r="K87" i="3"/>
  <c r="G87" i="3" s="1"/>
  <c r="K79" i="3"/>
  <c r="G79" i="3" s="1"/>
  <c r="K71" i="3"/>
  <c r="G71" i="3" s="1"/>
  <c r="K63" i="3"/>
  <c r="G63" i="3" s="1"/>
  <c r="K55" i="3"/>
  <c r="G55" i="3" s="1"/>
  <c r="K47" i="3"/>
  <c r="G47" i="3" s="1"/>
  <c r="K39" i="3"/>
  <c r="G39" i="3" s="1"/>
  <c r="K31" i="3"/>
  <c r="G31" i="3" s="1"/>
  <c r="K23" i="3"/>
  <c r="G23" i="3" s="1"/>
  <c r="K15" i="3"/>
  <c r="G15" i="3" s="1"/>
  <c r="K2" i="3"/>
  <c r="G2" i="3" s="1"/>
  <c r="K358" i="3"/>
  <c r="G358" i="3" s="1"/>
  <c r="K350" i="3"/>
  <c r="G350" i="3" s="1"/>
  <c r="K342" i="3"/>
  <c r="G342" i="3" s="1"/>
  <c r="K334" i="3"/>
  <c r="G334" i="3" s="1"/>
  <c r="K326" i="3"/>
  <c r="G326" i="3" s="1"/>
  <c r="K318" i="3"/>
  <c r="G318" i="3" s="1"/>
  <c r="K310" i="3"/>
  <c r="G310" i="3" s="1"/>
  <c r="K302" i="3"/>
  <c r="G302" i="3" s="1"/>
  <c r="K294" i="3"/>
  <c r="G294" i="3" s="1"/>
  <c r="K286" i="3"/>
  <c r="G286" i="3" s="1"/>
  <c r="K278" i="3"/>
  <c r="G278" i="3" s="1"/>
  <c r="K270" i="3"/>
  <c r="G270" i="3" s="1"/>
  <c r="K262" i="3"/>
  <c r="G262" i="3" s="1"/>
  <c r="K254" i="3"/>
  <c r="G254" i="3" s="1"/>
  <c r="K215" i="3"/>
  <c r="G215" i="3" s="1"/>
  <c r="K222" i="3"/>
  <c r="G222" i="3" s="1"/>
  <c r="K247" i="3"/>
  <c r="G247" i="3" s="1"/>
  <c r="K235" i="3"/>
  <c r="G235" i="3" s="1"/>
  <c r="K246" i="3"/>
  <c r="G246" i="3" s="1"/>
  <c r="K213" i="3"/>
  <c r="G213" i="3" s="1"/>
  <c r="K198" i="3"/>
  <c r="G198" i="3" s="1"/>
  <c r="K190" i="3"/>
  <c r="G190" i="3" s="1"/>
  <c r="K182" i="3"/>
  <c r="G182" i="3" s="1"/>
  <c r="K174" i="3"/>
  <c r="G174" i="3" s="1"/>
  <c r="K166" i="3"/>
  <c r="G166" i="3" s="1"/>
  <c r="K158" i="3"/>
  <c r="G158" i="3" s="1"/>
  <c r="K150" i="3"/>
  <c r="G150" i="3" s="1"/>
  <c r="K142" i="3"/>
  <c r="G142" i="3" s="1"/>
  <c r="K134" i="3"/>
  <c r="G134" i="3" s="1"/>
  <c r="K126" i="3"/>
  <c r="G126" i="3" s="1"/>
  <c r="K118" i="3"/>
  <c r="G118" i="3" s="1"/>
  <c r="K110" i="3"/>
  <c r="G110" i="3" s="1"/>
  <c r="K102" i="3"/>
  <c r="G102" i="3" s="1"/>
  <c r="K94" i="3"/>
  <c r="G94" i="3" s="1"/>
  <c r="K86" i="3"/>
  <c r="G86" i="3" s="1"/>
  <c r="K78" i="3"/>
  <c r="G78" i="3" s="1"/>
  <c r="K70" i="3"/>
  <c r="G70" i="3" s="1"/>
  <c r="K62" i="3"/>
  <c r="G62" i="3" s="1"/>
  <c r="K54" i="3"/>
  <c r="G54" i="3" s="1"/>
  <c r="K46" i="3"/>
  <c r="G46" i="3" s="1"/>
  <c r="K38" i="3"/>
  <c r="G38" i="3" s="1"/>
  <c r="K30" i="3"/>
  <c r="G30" i="3" s="1"/>
  <c r="K22" i="3"/>
  <c r="G22" i="3" s="1"/>
  <c r="K14" i="3"/>
  <c r="G14" i="3" s="1"/>
  <c r="K6" i="3"/>
  <c r="G6" i="3" s="1"/>
  <c r="K357" i="3"/>
  <c r="G357" i="3" s="1"/>
  <c r="K349" i="3"/>
  <c r="G349" i="3" s="1"/>
  <c r="K341" i="3"/>
  <c r="G341" i="3" s="1"/>
  <c r="K333" i="3"/>
  <c r="G333" i="3" s="1"/>
  <c r="K325" i="3"/>
  <c r="G325" i="3" s="1"/>
  <c r="K317" i="3"/>
  <c r="G317" i="3" s="1"/>
  <c r="K309" i="3"/>
  <c r="G309" i="3" s="1"/>
  <c r="K301" i="3"/>
  <c r="G301" i="3" s="1"/>
  <c r="K293" i="3"/>
  <c r="G293" i="3" s="1"/>
  <c r="K285" i="3"/>
  <c r="G285" i="3" s="1"/>
  <c r="K277" i="3"/>
  <c r="G277" i="3" s="1"/>
  <c r="K269" i="3"/>
  <c r="G269" i="3" s="1"/>
  <c r="K261" i="3"/>
  <c r="G261" i="3" s="1"/>
  <c r="K253" i="3"/>
  <c r="G253" i="3" s="1"/>
  <c r="K220" i="3"/>
  <c r="G220" i="3" s="1"/>
  <c r="K228" i="3"/>
  <c r="G228" i="3" s="1"/>
  <c r="K212" i="3"/>
  <c r="G212" i="3" s="1"/>
  <c r="K237" i="3"/>
  <c r="G237" i="3" s="1"/>
  <c r="K240" i="3"/>
  <c r="G240" i="3" s="1"/>
  <c r="K205" i="3"/>
  <c r="G205" i="3" s="1"/>
  <c r="K197" i="3"/>
  <c r="G197" i="3" s="1"/>
  <c r="K189" i="3"/>
  <c r="G189" i="3" s="1"/>
  <c r="K181" i="3"/>
  <c r="G181" i="3" s="1"/>
  <c r="K173" i="3"/>
  <c r="G173" i="3" s="1"/>
  <c r="K165" i="3"/>
  <c r="G165" i="3" s="1"/>
  <c r="K157" i="3"/>
  <c r="G157" i="3" s="1"/>
  <c r="K149" i="3"/>
  <c r="G149" i="3" s="1"/>
  <c r="K141" i="3"/>
  <c r="G141" i="3" s="1"/>
  <c r="K133" i="3"/>
  <c r="G133" i="3" s="1"/>
  <c r="K125" i="3"/>
  <c r="G125" i="3" s="1"/>
  <c r="K117" i="3"/>
  <c r="G117" i="3" s="1"/>
  <c r="K109" i="3"/>
  <c r="G109" i="3" s="1"/>
  <c r="K101" i="3"/>
  <c r="G101" i="3" s="1"/>
  <c r="K93" i="3"/>
  <c r="G93" i="3" s="1"/>
  <c r="K85" i="3"/>
  <c r="G85" i="3" s="1"/>
  <c r="K77" i="3"/>
  <c r="G77" i="3" s="1"/>
  <c r="K69" i="3"/>
  <c r="G69" i="3" s="1"/>
  <c r="K61" i="3"/>
  <c r="G61" i="3" s="1"/>
  <c r="K53" i="3"/>
  <c r="G53" i="3" s="1"/>
  <c r="K45" i="3"/>
  <c r="G45" i="3" s="1"/>
  <c r="K37" i="3"/>
  <c r="G37" i="3" s="1"/>
  <c r="K29" i="3"/>
  <c r="G29" i="3" s="1"/>
  <c r="K21" i="3"/>
  <c r="G21" i="3" s="1"/>
  <c r="K13" i="3"/>
  <c r="G13" i="3" s="1"/>
  <c r="K5" i="3"/>
  <c r="G5" i="3" s="1"/>
  <c r="K356" i="3"/>
  <c r="G356" i="3" s="1"/>
  <c r="K348" i="3"/>
  <c r="G348" i="3" s="1"/>
  <c r="K340" i="3"/>
  <c r="G340" i="3" s="1"/>
  <c r="K332" i="3"/>
  <c r="G332" i="3" s="1"/>
  <c r="K324" i="3"/>
  <c r="G324" i="3" s="1"/>
  <c r="K316" i="3"/>
  <c r="G316" i="3" s="1"/>
  <c r="K308" i="3"/>
  <c r="G308" i="3" s="1"/>
  <c r="K300" i="3"/>
  <c r="G300" i="3" s="1"/>
  <c r="K292" i="3"/>
  <c r="G292" i="3" s="1"/>
  <c r="K284" i="3"/>
  <c r="G284" i="3" s="1"/>
  <c r="K276" i="3"/>
  <c r="G276" i="3" s="1"/>
  <c r="K268" i="3"/>
  <c r="G268" i="3" s="1"/>
  <c r="K260" i="3"/>
  <c r="G260" i="3" s="1"/>
  <c r="K252" i="3"/>
  <c r="G252" i="3" s="1"/>
  <c r="K238" i="3"/>
  <c r="G238" i="3" s="1"/>
  <c r="K241" i="3"/>
  <c r="G241" i="3" s="1"/>
  <c r="K233" i="3"/>
  <c r="G233" i="3" s="1"/>
  <c r="K236" i="3"/>
  <c r="G236" i="3" s="1"/>
  <c r="K208" i="3"/>
  <c r="G208" i="3" s="1"/>
  <c r="K204" i="3"/>
  <c r="G204" i="3" s="1"/>
  <c r="K196" i="3"/>
  <c r="G196" i="3" s="1"/>
  <c r="K188" i="3"/>
  <c r="G188" i="3" s="1"/>
  <c r="K180" i="3"/>
  <c r="G180" i="3" s="1"/>
  <c r="K172" i="3"/>
  <c r="G172" i="3" s="1"/>
  <c r="K164" i="3"/>
  <c r="G164" i="3" s="1"/>
  <c r="K156" i="3"/>
  <c r="G156" i="3" s="1"/>
  <c r="K148" i="3"/>
  <c r="G148" i="3" s="1"/>
  <c r="K140" i="3"/>
  <c r="G140" i="3" s="1"/>
  <c r="K132" i="3"/>
  <c r="G132" i="3" s="1"/>
  <c r="K124" i="3"/>
  <c r="G124" i="3" s="1"/>
  <c r="K116" i="3"/>
  <c r="G116" i="3" s="1"/>
  <c r="K108" i="3"/>
  <c r="G108" i="3" s="1"/>
  <c r="K100" i="3"/>
  <c r="G100" i="3" s="1"/>
  <c r="K92" i="3"/>
  <c r="G92" i="3" s="1"/>
  <c r="K84" i="3"/>
  <c r="G84" i="3" s="1"/>
  <c r="K76" i="3"/>
  <c r="G76" i="3" s="1"/>
  <c r="K68" i="3"/>
  <c r="G68" i="3" s="1"/>
  <c r="K60" i="3"/>
  <c r="G60" i="3" s="1"/>
  <c r="K52" i="3"/>
  <c r="G52" i="3" s="1"/>
  <c r="K44" i="3"/>
  <c r="G44" i="3" s="1"/>
  <c r="K36" i="3"/>
  <c r="G36" i="3" s="1"/>
  <c r="K28" i="3"/>
  <c r="G28" i="3" s="1"/>
  <c r="K20" i="3"/>
  <c r="G20" i="3" s="1"/>
  <c r="K12" i="3"/>
  <c r="G12" i="3" s="1"/>
  <c r="K4" i="3"/>
  <c r="G4" i="3" s="1"/>
  <c r="K355" i="3"/>
  <c r="G355" i="3" s="1"/>
  <c r="K347" i="3"/>
  <c r="G347" i="3" s="1"/>
  <c r="K339" i="3"/>
  <c r="G339" i="3" s="1"/>
  <c r="K331" i="3"/>
  <c r="G331" i="3" s="1"/>
  <c r="K323" i="3"/>
  <c r="G323" i="3" s="1"/>
  <c r="K315" i="3"/>
  <c r="G315" i="3" s="1"/>
  <c r="K307" i="3"/>
  <c r="G307" i="3" s="1"/>
  <c r="K299" i="3"/>
  <c r="G299" i="3" s="1"/>
  <c r="K291" i="3"/>
  <c r="G291" i="3" s="1"/>
  <c r="K283" i="3"/>
  <c r="G283" i="3" s="1"/>
  <c r="K275" i="3"/>
  <c r="G275" i="3" s="1"/>
  <c r="K267" i="3"/>
  <c r="G267" i="3" s="1"/>
  <c r="K259" i="3"/>
  <c r="G259" i="3" s="1"/>
  <c r="K251" i="3"/>
  <c r="G251" i="3" s="1"/>
  <c r="K207" i="3"/>
  <c r="G207" i="3" s="1"/>
  <c r="K210" i="3"/>
  <c r="G210" i="3" s="1"/>
  <c r="K227" i="3"/>
  <c r="G227" i="3" s="1"/>
  <c r="K225" i="3"/>
  <c r="G225" i="3" s="1"/>
  <c r="K206" i="3"/>
  <c r="G206" i="3" s="1"/>
  <c r="K203" i="3"/>
  <c r="G203" i="3" s="1"/>
  <c r="K195" i="3"/>
  <c r="G195" i="3" s="1"/>
  <c r="K187" i="3"/>
  <c r="G187" i="3" s="1"/>
  <c r="K179" i="3"/>
  <c r="G179" i="3" s="1"/>
  <c r="K171" i="3"/>
  <c r="G171" i="3" s="1"/>
  <c r="K163" i="3"/>
  <c r="G163" i="3" s="1"/>
  <c r="K155" i="3"/>
  <c r="G155" i="3" s="1"/>
  <c r="K147" i="3"/>
  <c r="G147" i="3" s="1"/>
  <c r="K139" i="3"/>
  <c r="G139" i="3" s="1"/>
  <c r="K131" i="3"/>
  <c r="G131" i="3" s="1"/>
  <c r="K123" i="3"/>
  <c r="G123" i="3" s="1"/>
  <c r="K115" i="3"/>
  <c r="G115" i="3" s="1"/>
  <c r="K107" i="3"/>
  <c r="G107" i="3" s="1"/>
  <c r="K99" i="3"/>
  <c r="G99" i="3" s="1"/>
  <c r="K91" i="3"/>
  <c r="G91" i="3" s="1"/>
  <c r="K83" i="3"/>
  <c r="G83" i="3" s="1"/>
  <c r="K75" i="3"/>
  <c r="G75" i="3" s="1"/>
  <c r="K67" i="3"/>
  <c r="G67" i="3" s="1"/>
  <c r="K59" i="3"/>
  <c r="G59" i="3" s="1"/>
  <c r="K51" i="3"/>
  <c r="G51" i="3" s="1"/>
  <c r="K43" i="3"/>
  <c r="G43" i="3" s="1"/>
  <c r="K35" i="3"/>
  <c r="G35" i="3" s="1"/>
  <c r="K27" i="3"/>
  <c r="G27" i="3" s="1"/>
  <c r="K19" i="3"/>
  <c r="G19" i="3" s="1"/>
  <c r="K11" i="3"/>
  <c r="G11" i="3" s="1"/>
  <c r="K3" i="3"/>
  <c r="G3" i="3" s="1"/>
  <c r="N191" i="3" l="1"/>
  <c r="N133" i="3"/>
</calcChain>
</file>

<file path=xl/sharedStrings.xml><?xml version="1.0" encoding="utf-8"?>
<sst xmlns="http://schemas.openxmlformats.org/spreadsheetml/2006/main" count="4271" uniqueCount="1036">
  <si>
    <t>Full Name</t>
  </si>
  <si>
    <t>School</t>
  </si>
  <si>
    <t>Total Score</t>
  </si>
  <si>
    <t>#10's</t>
  </si>
  <si>
    <t>Gender</t>
  </si>
  <si>
    <t>10m Score</t>
  </si>
  <si>
    <t>15m Score</t>
  </si>
  <si>
    <t>ID</t>
  </si>
  <si>
    <t>Grade</t>
  </si>
  <si>
    <t>LASA Total Score</t>
  </si>
  <si>
    <t>LASA #10's</t>
  </si>
  <si>
    <t>Darwin Hsieh</t>
  </si>
  <si>
    <t>Anderson High School</t>
  </si>
  <si>
    <t>Male</t>
  </si>
  <si>
    <t>Eleanor Bader</t>
  </si>
  <si>
    <t>Female</t>
  </si>
  <si>
    <t>Henry Dayton</t>
  </si>
  <si>
    <t>Juni Booth</t>
  </si>
  <si>
    <t>Larry Hong</t>
  </si>
  <si>
    <t>Reed Freytag</t>
  </si>
  <si>
    <t>Sullivan  Willyard</t>
  </si>
  <si>
    <t>Will Turner</t>
  </si>
  <si>
    <t>Alejandro Rosa-Rosa</t>
  </si>
  <si>
    <t>LASA</t>
  </si>
  <si>
    <t>Amelia McRoberts</t>
  </si>
  <si>
    <t>Ari Durnal-Harry</t>
  </si>
  <si>
    <t>Arun Kumar</t>
  </si>
  <si>
    <t>Avery Luther</t>
  </si>
  <si>
    <t>Benjamin Spitta</t>
  </si>
  <si>
    <t>C Bosquez</t>
  </si>
  <si>
    <t>Cain Darling</t>
  </si>
  <si>
    <t>Caroline Browne</t>
  </si>
  <si>
    <t>David Kilday</t>
  </si>
  <si>
    <t>El Cid Liebrecht</t>
  </si>
  <si>
    <t>Elio Benavidez Fisher</t>
  </si>
  <si>
    <t>Elizabeth  Weber</t>
  </si>
  <si>
    <t>Ellis Reddam</t>
  </si>
  <si>
    <t>Evan Meyer</t>
  </si>
  <si>
    <t>Eve Boulette</t>
  </si>
  <si>
    <t>Hamsika Ellore</t>
  </si>
  <si>
    <t>Harini Senthil Arasu</t>
  </si>
  <si>
    <t>Ian Block</t>
  </si>
  <si>
    <t>Ingram Johnson</t>
  </si>
  <si>
    <t>Javier Gonzalez</t>
  </si>
  <si>
    <t>Josephine Law</t>
  </si>
  <si>
    <t>Jules Starcher</t>
  </si>
  <si>
    <t>Kirthna Nanduru</t>
  </si>
  <si>
    <t>Kundana Addala</t>
  </si>
  <si>
    <t>Kyle Durkop</t>
  </si>
  <si>
    <t>Lauren Kim</t>
  </si>
  <si>
    <t>Liam Peters</t>
  </si>
  <si>
    <t>Max Oliver</t>
  </si>
  <si>
    <t>Miles Trentham</t>
  </si>
  <si>
    <t>Oliver Nelson</t>
  </si>
  <si>
    <t>Peyton Lauv</t>
  </si>
  <si>
    <t>Ruby Cornwell</t>
  </si>
  <si>
    <t>Salvador Lofat</t>
  </si>
  <si>
    <t>Sidarth  Senthil</t>
  </si>
  <si>
    <t>Simon Windler</t>
  </si>
  <si>
    <t>Sloane Gormin</t>
  </si>
  <si>
    <t>Traver Laudadio</t>
  </si>
  <si>
    <t xml:space="preserve">Ty Camp </t>
  </si>
  <si>
    <t xml:space="preserve">Zoe Abramowitz </t>
  </si>
  <si>
    <t>Audrey Murdock</t>
  </si>
  <si>
    <t>Carson Metcalf</t>
  </si>
  <si>
    <t>Lyndon B. Johnson High School</t>
  </si>
  <si>
    <t>Katie Shannan</t>
  </si>
  <si>
    <t>Lola Palmer</t>
  </si>
  <si>
    <t>Luis Trejo</t>
  </si>
  <si>
    <t>Aariz Porbanderwalla</t>
  </si>
  <si>
    <t>Magellan International School</t>
  </si>
  <si>
    <t>Addison Eyhorn</t>
  </si>
  <si>
    <t>Bennett Kerr</t>
  </si>
  <si>
    <t>Brett  Elkins</t>
  </si>
  <si>
    <t>Cassidy League</t>
  </si>
  <si>
    <t>Celine  Carlson</t>
  </si>
  <si>
    <t>Charles Yen</t>
  </si>
  <si>
    <t>Jack Spotts</t>
  </si>
  <si>
    <t>Parker Ziller</t>
  </si>
  <si>
    <t>Sofia  Hake</t>
  </si>
  <si>
    <t>Vivian Dickenson</t>
  </si>
  <si>
    <t>Ziya Heath</t>
  </si>
  <si>
    <t>Adele Tsang</t>
  </si>
  <si>
    <t>McCallum High School</t>
  </si>
  <si>
    <t>Althea Bradbury-Flores</t>
  </si>
  <si>
    <t>Ash Tomlinson Trent</t>
  </si>
  <si>
    <t>Callahan Boruff</t>
  </si>
  <si>
    <t xml:space="preserve">Carley Lardizabal </t>
  </si>
  <si>
    <t>Cash Dolan</t>
  </si>
  <si>
    <t xml:space="preserve">Desmond  Greenwell </t>
  </si>
  <si>
    <t>Elliott Curry</t>
  </si>
  <si>
    <t>Evan  Kim</t>
  </si>
  <si>
    <t>Franklin Holleman</t>
  </si>
  <si>
    <t>Henry Peacock</t>
  </si>
  <si>
    <t>Hudson Webb</t>
  </si>
  <si>
    <t xml:space="preserve">Jacob  Griesemer </t>
  </si>
  <si>
    <t xml:space="preserve">Jax Enriquez </t>
  </si>
  <si>
    <t>Kellan Douglas</t>
  </si>
  <si>
    <t>Maddie Hunte-Beasley</t>
  </si>
  <si>
    <t>Maddie Yellman</t>
  </si>
  <si>
    <t>Matthew McCabe</t>
  </si>
  <si>
    <t>Matthew  McCabe</t>
  </si>
  <si>
    <t>Melea Carman</t>
  </si>
  <si>
    <t>Nico Volluz</t>
  </si>
  <si>
    <t>Niko Vega</t>
  </si>
  <si>
    <t>Oliver Young</t>
  </si>
  <si>
    <t>Oscar Busch</t>
  </si>
  <si>
    <t>Parker Gould</t>
  </si>
  <si>
    <t>Penelope Conner</t>
  </si>
  <si>
    <t>Reed  Davis</t>
  </si>
  <si>
    <t>Roane Heining</t>
  </si>
  <si>
    <t>sam archer</t>
  </si>
  <si>
    <t>sean  sander</t>
  </si>
  <si>
    <t xml:space="preserve">Sofia  Pedregon Harrington </t>
  </si>
  <si>
    <t>Sophia Escamilla</t>
  </si>
  <si>
    <t>Will Swan</t>
  </si>
  <si>
    <t>Wren Griffis</t>
  </si>
  <si>
    <t>Wyatt Norman</t>
  </si>
  <si>
    <t>Charles Tough</t>
  </si>
  <si>
    <t>St. Francis School</t>
  </si>
  <si>
    <t>Ella Porter</t>
  </si>
  <si>
    <t>Kyril  Hadzi-Antich</t>
  </si>
  <si>
    <t>Lottie Borer</t>
  </si>
  <si>
    <t>Noelani Aravind</t>
  </si>
  <si>
    <t>Sawyer Mendez</t>
  </si>
  <si>
    <t>Sydney Lucas</t>
  </si>
  <si>
    <t>Truett Shaw</t>
  </si>
  <si>
    <t>Abigail  Ramos</t>
  </si>
  <si>
    <t>Ann Richards School for Young Women Leaders</t>
  </si>
  <si>
    <t>Alex Monahan</t>
  </si>
  <si>
    <t>Alicia Jayne</t>
  </si>
  <si>
    <t>Amelia Forkosh</t>
  </si>
  <si>
    <t>Amelia  Moore</t>
  </si>
  <si>
    <t>Anika Manoj</t>
  </si>
  <si>
    <t>Anna Bentley</t>
  </si>
  <si>
    <t>Avery Dillingham</t>
  </si>
  <si>
    <t>Ben Jeffery</t>
  </si>
  <si>
    <t>Bonnie Wisrodt</t>
  </si>
  <si>
    <t>Camryn Conley</t>
  </si>
  <si>
    <t>Caroline Ornelas</t>
  </si>
  <si>
    <t>Ceci Napoles</t>
  </si>
  <si>
    <t>Claire Flaherty</t>
  </si>
  <si>
    <t>Clara Gibbs</t>
  </si>
  <si>
    <t xml:space="preserve">Cooper  Holiday </t>
  </si>
  <si>
    <t xml:space="preserve">Dae DiNapoli </t>
  </si>
  <si>
    <t xml:space="preserve">Daniella  Echartea </t>
  </si>
  <si>
    <t xml:space="preserve">Dnyaneshwari  Yawalkar </t>
  </si>
  <si>
    <t>Elissa  Ulrich</t>
  </si>
  <si>
    <t>Ella Heimer</t>
  </si>
  <si>
    <t>Elle Jervis</t>
  </si>
  <si>
    <t>Evabel Becker-Skott</t>
  </si>
  <si>
    <t>Florence Shott</t>
  </si>
  <si>
    <t>Gala Quintero</t>
  </si>
  <si>
    <t>Hannah Cassel</t>
  </si>
  <si>
    <t>Inés Cisneros</t>
  </si>
  <si>
    <t>Jacqui Cherng</t>
  </si>
  <si>
    <t>Karina Gutierrez</t>
  </si>
  <si>
    <t>Kate  Horner</t>
  </si>
  <si>
    <t>Lainey Lauer</t>
  </si>
  <si>
    <t>Lexi Kaighin</t>
  </si>
  <si>
    <t>Linden Tao</t>
  </si>
  <si>
    <t>Madeleine  Tremblay</t>
  </si>
  <si>
    <t>Maya Berger</t>
  </si>
  <si>
    <t>Mia Garcia</t>
  </si>
  <si>
    <t>Mia Paz</t>
  </si>
  <si>
    <t>Nina Fedyszyn</t>
  </si>
  <si>
    <t>Norah Young</t>
  </si>
  <si>
    <t>Olivia Lackey</t>
  </si>
  <si>
    <t>Olivia Vinson</t>
  </si>
  <si>
    <t>Olivia Moore</t>
  </si>
  <si>
    <t>Paloma  Lewis</t>
  </si>
  <si>
    <t>Quinn Ellmer</t>
  </si>
  <si>
    <t>Rayne Bakhshi</t>
  </si>
  <si>
    <t>Rory Barrett</t>
  </si>
  <si>
    <t>Rosa Vargas</t>
  </si>
  <si>
    <t>Ruby Bullard</t>
  </si>
  <si>
    <t>Sarita Ceballos</t>
  </si>
  <si>
    <t>Sarita  CEBALLOS</t>
  </si>
  <si>
    <t>Senna Tureen</t>
  </si>
  <si>
    <t>Skarlett Hernandez</t>
  </si>
  <si>
    <t>Skye Flaherty</t>
  </si>
  <si>
    <t>Sofie CEBALLOS</t>
  </si>
  <si>
    <t>Sophia Najera</t>
  </si>
  <si>
    <t xml:space="preserve">Tania Murillo </t>
  </si>
  <si>
    <t>Vera Burnett</t>
  </si>
  <si>
    <t>Brooklyn Giles</t>
  </si>
  <si>
    <t>Austin High School</t>
  </si>
  <si>
    <t>Charlie Crouch</t>
  </si>
  <si>
    <t>Clementine  Redman</t>
  </si>
  <si>
    <t>Conrad Taylor</t>
  </si>
  <si>
    <t>Eshan Lakshmanan-Gulley</t>
  </si>
  <si>
    <t>Evan Kirk</t>
  </si>
  <si>
    <t>Joaquin Cuellar-Rojas</t>
  </si>
  <si>
    <t>Kaleb Perez</t>
  </si>
  <si>
    <t>Leo Tagle</t>
  </si>
  <si>
    <t>Molly Enno</t>
  </si>
  <si>
    <t>Owen Harp</t>
  </si>
  <si>
    <t>Pablo Cuellar-Rojas</t>
  </si>
  <si>
    <t>Peityn Brothwell-Hernandez</t>
  </si>
  <si>
    <t>Rose Patterson</t>
  </si>
  <si>
    <t>Alice Nichols</t>
  </si>
  <si>
    <t>Brentwood Elementary School</t>
  </si>
  <si>
    <t>Ana  Benavidez Fisher</t>
  </si>
  <si>
    <t>Audrey Burleson-Davis</t>
  </si>
  <si>
    <t>Connor Gillis</t>
  </si>
  <si>
    <t>Crosby Browder</t>
  </si>
  <si>
    <t>Duke Lott</t>
  </si>
  <si>
    <t xml:space="preserve">Fawkes  Hendrie </t>
  </si>
  <si>
    <t xml:space="preserve">Hamza Siegel </t>
  </si>
  <si>
    <t>Hank Truty</t>
  </si>
  <si>
    <t>Hawk Norman</t>
  </si>
  <si>
    <t>Ila Wright</t>
  </si>
  <si>
    <t>Lexie Marr</t>
  </si>
  <si>
    <t>Lisa Lickteig</t>
  </si>
  <si>
    <t>Liza Young</t>
  </si>
  <si>
    <t>Margaret Thomason</t>
  </si>
  <si>
    <t>Margot Schumaker</t>
  </si>
  <si>
    <t>Matthew Swaim</t>
  </si>
  <si>
    <t>Robin Curry</t>
  </si>
  <si>
    <t>Stella  Sumers</t>
  </si>
  <si>
    <t>Stella Mia Mercado Rodriguez</t>
  </si>
  <si>
    <t>Tom Sawicki</t>
  </si>
  <si>
    <t>Vincent Merritt</t>
  </si>
  <si>
    <t>Thomas Burns</t>
  </si>
  <si>
    <t>Eastside Early College Prep</t>
  </si>
  <si>
    <t>Evelyn Hanna</t>
  </si>
  <si>
    <t>Griffin School</t>
  </si>
  <si>
    <t>Kai Gadd-Shefman</t>
  </si>
  <si>
    <t>Anita Liu</t>
  </si>
  <si>
    <t>Highland Park Elementary School</t>
  </si>
  <si>
    <t>Asher Young</t>
  </si>
  <si>
    <t>Aspen Arbuckle</t>
  </si>
  <si>
    <t>Benjamin Musgrave</t>
  </si>
  <si>
    <t xml:space="preserve">Bobby Napoles </t>
  </si>
  <si>
    <t>Bobby Napoles</t>
  </si>
  <si>
    <t>Claire Fuller</t>
  </si>
  <si>
    <t>Crosby Campaigne</t>
  </si>
  <si>
    <t>Diego Chaparro</t>
  </si>
  <si>
    <t>Eleanor Aughenbaugh</t>
  </si>
  <si>
    <t>Eleanor Singer</t>
  </si>
  <si>
    <t>Emma Strama</t>
  </si>
  <si>
    <t>Emma Wintemute</t>
  </si>
  <si>
    <t>Etta Moskowitz</t>
  </si>
  <si>
    <t>George Joyoprayitno</t>
  </si>
  <si>
    <t>Georgia Ambrose</t>
  </si>
  <si>
    <t>Hayes Hatfield</t>
  </si>
  <si>
    <t>Henry Pell</t>
  </si>
  <si>
    <t>Isaac Tang</t>
  </si>
  <si>
    <t>Jagger Sanchez</t>
  </si>
  <si>
    <t>John Fox Williams</t>
  </si>
  <si>
    <t>Josef Weiner</t>
  </si>
  <si>
    <t>London Tracy</t>
  </si>
  <si>
    <t>Louis Garcia</t>
  </si>
  <si>
    <t>Louisa Marcek</t>
  </si>
  <si>
    <t>Luke Schaeffer</t>
  </si>
  <si>
    <t>Margot Jacobson</t>
  </si>
  <si>
    <t>Miles Yeoman</t>
  </si>
  <si>
    <t>Nellie Quist</t>
  </si>
  <si>
    <t>Louis Marchand</t>
  </si>
  <si>
    <t>Noelle Rodriguez</t>
  </si>
  <si>
    <t>Oliver Lovan</t>
  </si>
  <si>
    <t>Owen Gray</t>
  </si>
  <si>
    <t>Pearl Denny</t>
  </si>
  <si>
    <t xml:space="preserve">Penelope  Papavasiliou </t>
  </si>
  <si>
    <t>Ray Lindenschmidt</t>
  </si>
  <si>
    <t>Ruby Wallace Ho</t>
  </si>
  <si>
    <t>Scarlett Tashnick</t>
  </si>
  <si>
    <t>Seva Deshpande</t>
  </si>
  <si>
    <t>Tyler Truitt</t>
  </si>
  <si>
    <t>Winslet McGuire</t>
  </si>
  <si>
    <t>Aaron Hong</t>
  </si>
  <si>
    <t>Kealing Middle School</t>
  </si>
  <si>
    <t>Addie Hutto</t>
  </si>
  <si>
    <t>Adeline  Hutto</t>
  </si>
  <si>
    <t>Aidan Buckman</t>
  </si>
  <si>
    <t>Aiden Flores</t>
  </si>
  <si>
    <t>Akash Arcuri</t>
  </si>
  <si>
    <t xml:space="preserve">Anika  Yenamandra </t>
  </si>
  <si>
    <t>Apollo Griffin</t>
  </si>
  <si>
    <t>Arin Pradhan</t>
  </si>
  <si>
    <t>Asher Faulds</t>
  </si>
  <si>
    <t>Aviendha  Griffin</t>
  </si>
  <si>
    <t>Barrett Y</t>
  </si>
  <si>
    <t>Cailan Block</t>
  </si>
  <si>
    <t>Charlie  Mengoli</t>
  </si>
  <si>
    <t>Cole Noellert</t>
  </si>
  <si>
    <t>Conner Gresham</t>
  </si>
  <si>
    <t>Cora Groves</t>
  </si>
  <si>
    <t xml:space="preserve">Devin Peterson </t>
  </si>
  <si>
    <t xml:space="preserve">Dhruv Varanasi </t>
  </si>
  <si>
    <t>Easton Cannon</t>
  </si>
  <si>
    <t>Eleanor Roberts</t>
  </si>
  <si>
    <t>Eli Gray</t>
  </si>
  <si>
    <t>Ainsleigh Andrews</t>
  </si>
  <si>
    <t>Ellen Pehl</t>
  </si>
  <si>
    <t>Emerson Kestner</t>
  </si>
  <si>
    <t>Emily Holton</t>
  </si>
  <si>
    <t>Emmett Seales</t>
  </si>
  <si>
    <t>Gabriel  Tang</t>
  </si>
  <si>
    <t xml:space="preserve">Gavin Dobinsky </t>
  </si>
  <si>
    <t>George Flesher</t>
  </si>
  <si>
    <t>Graham Hines</t>
  </si>
  <si>
    <t>Hadley  Ahern</t>
  </si>
  <si>
    <t>Ike Ziegler</t>
  </si>
  <si>
    <t>Jack Simpson</t>
  </si>
  <si>
    <t>James Zepeda</t>
  </si>
  <si>
    <t>Jasmine  Poon</t>
  </si>
  <si>
    <t>Jessie Subido</t>
  </si>
  <si>
    <t>Joseph Salinas</t>
  </si>
  <si>
    <t>Juliana Saenz</t>
  </si>
  <si>
    <t>Katherine Lee</t>
  </si>
  <si>
    <t>Katherine  Lee</t>
  </si>
  <si>
    <t>Lance Daniel Ramos</t>
  </si>
  <si>
    <t>Leo Hanson</t>
  </si>
  <si>
    <t>Louella Cathell</t>
  </si>
  <si>
    <t>Luisa  Shanahan</t>
  </si>
  <si>
    <t>Lyla Woodland</t>
  </si>
  <si>
    <t>Marco  Campagna</t>
  </si>
  <si>
    <t xml:space="preserve">Marco  Campagna </t>
  </si>
  <si>
    <t>Mateo Rodriguez</t>
  </si>
  <si>
    <t xml:space="preserve">Melodi  Alti </t>
  </si>
  <si>
    <t>Miles Cunningham</t>
  </si>
  <si>
    <t>Mithra Krishnan</t>
  </si>
  <si>
    <t>Nico Alcorta</t>
  </si>
  <si>
    <t>Oliver Magic</t>
  </si>
  <si>
    <t>Oliver Tally</t>
  </si>
  <si>
    <t>Olivia Hensley</t>
  </si>
  <si>
    <t>Pauline  Saenz</t>
  </si>
  <si>
    <t>Peyton Hall</t>
  </si>
  <si>
    <t xml:space="preserve">Reiyuan Rekepalli </t>
  </si>
  <si>
    <t>Saahil Kamath</t>
  </si>
  <si>
    <t>Samanvitha Ellore</t>
  </si>
  <si>
    <t>Sarah Tong</t>
  </si>
  <si>
    <t>Stella Gormin</t>
  </si>
  <si>
    <t>Sullivan McComb</t>
  </si>
  <si>
    <t>Tiago Wright</t>
  </si>
  <si>
    <t>Will Vaughan</t>
  </si>
  <si>
    <t>Wyatt Rogers</t>
  </si>
  <si>
    <t>Britt Magee</t>
  </si>
  <si>
    <t>Lamar Middle School</t>
  </si>
  <si>
    <t>Aiko Jones</t>
  </si>
  <si>
    <t>Alec Kirk</t>
  </si>
  <si>
    <t>Ash Leaverton</t>
  </si>
  <si>
    <t xml:space="preserve">Atlee San Miguel-Williams </t>
  </si>
  <si>
    <t>Ava Thompson</t>
  </si>
  <si>
    <t xml:space="preserve">Bailey  Stewart </t>
  </si>
  <si>
    <t>Bobby Latsha</t>
  </si>
  <si>
    <t>Brendan McGrath</t>
  </si>
  <si>
    <t>Burke  Magee</t>
  </si>
  <si>
    <t xml:space="preserve">Campbell  Schroeder </t>
  </si>
  <si>
    <t>Charley Shagrin</t>
  </si>
  <si>
    <t>Conrad  Johnson</t>
  </si>
  <si>
    <t>Dylan Lopez</t>
  </si>
  <si>
    <t>Elias Combee</t>
  </si>
  <si>
    <t>Elliott Keith</t>
  </si>
  <si>
    <t>Emerson Bedrosian</t>
  </si>
  <si>
    <t>Finley Tracy</t>
  </si>
  <si>
    <t>Geraint  House</t>
  </si>
  <si>
    <t>Hamad  Al sawalma</t>
  </si>
  <si>
    <t>Henry Brabham</t>
  </si>
  <si>
    <t>Jack DeShazo</t>
  </si>
  <si>
    <t>Jane Pirkl</t>
  </si>
  <si>
    <t>Joseph Monahan</t>
  </si>
  <si>
    <t>Julian Saenz</t>
  </si>
  <si>
    <t>Kaylin Kumar</t>
  </si>
  <si>
    <t>Linden Reddam</t>
  </si>
  <si>
    <t>Lucy Wolff</t>
  </si>
  <si>
    <t>Madeline Forbes</t>
  </si>
  <si>
    <t>Matthew Eaves</t>
  </si>
  <si>
    <t>Mia Alcorta</t>
  </si>
  <si>
    <t>Milo McHenry</t>
  </si>
  <si>
    <t>Ogden Wyman</t>
  </si>
  <si>
    <t>Olivia Gillis</t>
  </si>
  <si>
    <t>Olivia Mansuri</t>
  </si>
  <si>
    <t>Patrick Doody</t>
  </si>
  <si>
    <t>Reid McKay</t>
  </si>
  <si>
    <t>Rose Underwood</t>
  </si>
  <si>
    <t>Samantha Doody</t>
  </si>
  <si>
    <t>Sammie Garel</t>
  </si>
  <si>
    <t>Simon Saldana</t>
  </si>
  <si>
    <t>Stella Dooner</t>
  </si>
  <si>
    <t>Torsten Hess</t>
  </si>
  <si>
    <t>Toshi Gonzalez</t>
  </si>
  <si>
    <t>Kealing Total Score</t>
  </si>
  <si>
    <t>Kealing #10s</t>
  </si>
  <si>
    <t>Combined Total Score</t>
  </si>
  <si>
    <t>Combined #10s</t>
  </si>
  <si>
    <t>Top three Elementary School Female and top three Elementary School Male archers</t>
  </si>
  <si>
    <t>Top three 6th Grade Female and top three 6th Grade Male archers</t>
  </si>
  <si>
    <t>Top three 7th Grade Female and top three 7th Grade Male archers</t>
  </si>
  <si>
    <t>Top three 8th Grade Female and top three 8th Grade Male archers</t>
  </si>
  <si>
    <t>Top three 9th Grade Female and top three 9th Grade Male archers</t>
  </si>
  <si>
    <t>Top three 10th Grade Female and top three 10th Grade Male archers</t>
  </si>
  <si>
    <t>Top three 11th Grade Female and top three 11th Grade Male archers</t>
  </si>
  <si>
    <t>Top three 12th Grade Female and top three 12th Grade Male archers</t>
  </si>
  <si>
    <t>$500 Scholarships will be awarded to the top male and female archers in the high school division ONLY</t>
  </si>
  <si>
    <t>Team Awards!</t>
  </si>
  <si>
    <t>Team awards to the highest scoring team in each division (Elementary, Middle, and High school divisions) </t>
  </si>
  <si>
    <t>Name</t>
  </si>
  <si>
    <t>Archer First Name</t>
  </si>
  <si>
    <t>Archer Last Name</t>
  </si>
  <si>
    <t>Magee</t>
  </si>
  <si>
    <t>6th</t>
  </si>
  <si>
    <t>Aariz</t>
  </si>
  <si>
    <t>Porbanderwalla</t>
  </si>
  <si>
    <t>Aaron</t>
  </si>
  <si>
    <t>Hong</t>
  </si>
  <si>
    <t>8th</t>
  </si>
  <si>
    <t xml:space="preserve">Abigail </t>
  </si>
  <si>
    <t>Ramos</t>
  </si>
  <si>
    <t>Addie</t>
  </si>
  <si>
    <t>Hutto</t>
  </si>
  <si>
    <t>Addison</t>
  </si>
  <si>
    <t>Eyhorn</t>
  </si>
  <si>
    <t>9th</t>
  </si>
  <si>
    <t>Adele</t>
  </si>
  <si>
    <t>Tsang</t>
  </si>
  <si>
    <t>10th</t>
  </si>
  <si>
    <t xml:space="preserve">Adeline </t>
  </si>
  <si>
    <t>Aidan</t>
  </si>
  <si>
    <t>Buckman</t>
  </si>
  <si>
    <t>Aiden</t>
  </si>
  <si>
    <t>Flores</t>
  </si>
  <si>
    <t>Aiko</t>
  </si>
  <si>
    <t>Jones</t>
  </si>
  <si>
    <t>7th</t>
  </si>
  <si>
    <t>Ainsleigh</t>
  </si>
  <si>
    <t>Andrews</t>
  </si>
  <si>
    <t>Akash</t>
  </si>
  <si>
    <t>Arcuri</t>
  </si>
  <si>
    <t>Alec</t>
  </si>
  <si>
    <t>Kirk</t>
  </si>
  <si>
    <t>Alejandro</t>
  </si>
  <si>
    <t>Rosa-Rosa</t>
  </si>
  <si>
    <t>Alex</t>
  </si>
  <si>
    <t>Monahan</t>
  </si>
  <si>
    <t>Alice</t>
  </si>
  <si>
    <t>Nichols</t>
  </si>
  <si>
    <t>4th</t>
  </si>
  <si>
    <t>Alicia</t>
  </si>
  <si>
    <t>Jayne</t>
  </si>
  <si>
    <t>Althea</t>
  </si>
  <si>
    <t>Bradbury-Flores</t>
  </si>
  <si>
    <t>Amelia</t>
  </si>
  <si>
    <t>Forkosh</t>
  </si>
  <si>
    <t>McRoberts</t>
  </si>
  <si>
    <t>12th</t>
  </si>
  <si>
    <t xml:space="preserve">Amelia </t>
  </si>
  <si>
    <t>Moore</t>
  </si>
  <si>
    <t>11th</t>
  </si>
  <si>
    <t xml:space="preserve">Ana </t>
  </si>
  <si>
    <t>Benavidez Fisher</t>
  </si>
  <si>
    <t>Anika</t>
  </si>
  <si>
    <t>Manoj</t>
  </si>
  <si>
    <t xml:space="preserve">Anika </t>
  </si>
  <si>
    <t xml:space="preserve">Yenamandra </t>
  </si>
  <si>
    <t>Anita</t>
  </si>
  <si>
    <t>Liu</t>
  </si>
  <si>
    <t>5th</t>
  </si>
  <si>
    <t>Anna</t>
  </si>
  <si>
    <t>Bentley</t>
  </si>
  <si>
    <t>Apollo</t>
  </si>
  <si>
    <t>Griffin</t>
  </si>
  <si>
    <t>Ari</t>
  </si>
  <si>
    <t>Durnal-Harry</t>
  </si>
  <si>
    <t>Arin</t>
  </si>
  <si>
    <t>Pradhan</t>
  </si>
  <si>
    <t>Arun</t>
  </si>
  <si>
    <t>Kumar</t>
  </si>
  <si>
    <t>Ash</t>
  </si>
  <si>
    <t>Leaverton</t>
  </si>
  <si>
    <t>Tomlinson Trent</t>
  </si>
  <si>
    <t>Asher</t>
  </si>
  <si>
    <t>Faulds</t>
  </si>
  <si>
    <t>Young</t>
  </si>
  <si>
    <t>Aspen</t>
  </si>
  <si>
    <t>Arbuckle</t>
  </si>
  <si>
    <t>Atlee</t>
  </si>
  <si>
    <t xml:space="preserve">San Miguel-Williams </t>
  </si>
  <si>
    <t>Audrey</t>
  </si>
  <si>
    <t>Burleson-Davis</t>
  </si>
  <si>
    <t>Ava</t>
  </si>
  <si>
    <t>Thompson</t>
  </si>
  <si>
    <t>Avery</t>
  </si>
  <si>
    <t>Dillingham</t>
  </si>
  <si>
    <t>Luther</t>
  </si>
  <si>
    <t xml:space="preserve">Aviendha </t>
  </si>
  <si>
    <t xml:space="preserve">Bailey </t>
  </si>
  <si>
    <t xml:space="preserve">Stewart </t>
  </si>
  <si>
    <t>Barrett</t>
  </si>
  <si>
    <t>Ben</t>
  </si>
  <si>
    <t>Jeffery</t>
  </si>
  <si>
    <t>Benjamin</t>
  </si>
  <si>
    <t>Musgrave</t>
  </si>
  <si>
    <t>Spitta</t>
  </si>
  <si>
    <t>Bennett</t>
  </si>
  <si>
    <t>Kerr</t>
  </si>
  <si>
    <t>Bobby</t>
  </si>
  <si>
    <t>Latsha</t>
  </si>
  <si>
    <t>Napoles</t>
  </si>
  <si>
    <t xml:space="preserve">Napoles </t>
  </si>
  <si>
    <t>Bonnie</t>
  </si>
  <si>
    <t>Wisrodt</t>
  </si>
  <si>
    <t>Brendan</t>
  </si>
  <si>
    <t>McGrath</t>
  </si>
  <si>
    <t xml:space="preserve">Brett </t>
  </si>
  <si>
    <t>Elkins</t>
  </si>
  <si>
    <t>Brooklyn</t>
  </si>
  <si>
    <t>Giles</t>
  </si>
  <si>
    <t xml:space="preserve">Burke </t>
  </si>
  <si>
    <t>C</t>
  </si>
  <si>
    <t>Bosquez</t>
  </si>
  <si>
    <t>Cailan</t>
  </si>
  <si>
    <t>Block</t>
  </si>
  <si>
    <t>Cain</t>
  </si>
  <si>
    <t>Darling</t>
  </si>
  <si>
    <t>Callahan</t>
  </si>
  <si>
    <t>Boruff</t>
  </si>
  <si>
    <t xml:space="preserve">Campbell </t>
  </si>
  <si>
    <t xml:space="preserve">Schroeder </t>
  </si>
  <si>
    <t>Camryn</t>
  </si>
  <si>
    <t>Conley</t>
  </si>
  <si>
    <t>Carley</t>
  </si>
  <si>
    <t xml:space="preserve">Lardizabal </t>
  </si>
  <si>
    <t>Caroline</t>
  </si>
  <si>
    <t>Browne</t>
  </si>
  <si>
    <t>Ornelas</t>
  </si>
  <si>
    <t>Carson</t>
  </si>
  <si>
    <t>Metcalf</t>
  </si>
  <si>
    <t>Cash</t>
  </si>
  <si>
    <t>Dolan</t>
  </si>
  <si>
    <t>Cassidy</t>
  </si>
  <si>
    <t>League</t>
  </si>
  <si>
    <t>Ceci</t>
  </si>
  <si>
    <t xml:space="preserve">Celine </t>
  </si>
  <si>
    <t>Carlson</t>
  </si>
  <si>
    <t>Charles</t>
  </si>
  <si>
    <t>Tough</t>
  </si>
  <si>
    <t>Yen</t>
  </si>
  <si>
    <t>Charley</t>
  </si>
  <si>
    <t>Shagrin</t>
  </si>
  <si>
    <t>Charlie</t>
  </si>
  <si>
    <t>Crouch</t>
  </si>
  <si>
    <t xml:space="preserve">Charlie </t>
  </si>
  <si>
    <t>Mengoli</t>
  </si>
  <si>
    <t>Claire</t>
  </si>
  <si>
    <t>Flaherty</t>
  </si>
  <si>
    <t>Fuller</t>
  </si>
  <si>
    <t>Clara</t>
  </si>
  <si>
    <t>Gibbs</t>
  </si>
  <si>
    <t xml:space="preserve">Clementine </t>
  </si>
  <si>
    <t>Redman</t>
  </si>
  <si>
    <t>Cole</t>
  </si>
  <si>
    <t>Noellert</t>
  </si>
  <si>
    <t>Conner</t>
  </si>
  <si>
    <t>Gresham</t>
  </si>
  <si>
    <t>Connor</t>
  </si>
  <si>
    <t>Gillis</t>
  </si>
  <si>
    <t>Conrad</t>
  </si>
  <si>
    <t>Taylor</t>
  </si>
  <si>
    <t xml:space="preserve">Conrad </t>
  </si>
  <si>
    <t>Johnson</t>
  </si>
  <si>
    <t xml:space="preserve">Cooper </t>
  </si>
  <si>
    <t xml:space="preserve">Holiday </t>
  </si>
  <si>
    <t>Cora</t>
  </si>
  <si>
    <t>Groves</t>
  </si>
  <si>
    <t>Crosby</t>
  </si>
  <si>
    <t>Browder</t>
  </si>
  <si>
    <t>Campaigne</t>
  </si>
  <si>
    <t>Dae</t>
  </si>
  <si>
    <t xml:space="preserve">DiNapoli </t>
  </si>
  <si>
    <t xml:space="preserve">Daniella </t>
  </si>
  <si>
    <t xml:space="preserve">Echartea </t>
  </si>
  <si>
    <t>Darwin</t>
  </si>
  <si>
    <t>Hsieh</t>
  </si>
  <si>
    <t>David</t>
  </si>
  <si>
    <t>Kilday</t>
  </si>
  <si>
    <t xml:space="preserve">Desmond </t>
  </si>
  <si>
    <t xml:space="preserve">Greenwell </t>
  </si>
  <si>
    <t>Devin</t>
  </si>
  <si>
    <t xml:space="preserve">Peterson </t>
  </si>
  <si>
    <t>Dhruv</t>
  </si>
  <si>
    <t xml:space="preserve">Varanasi </t>
  </si>
  <si>
    <t>Diego</t>
  </si>
  <si>
    <t>Chaparro</t>
  </si>
  <si>
    <t xml:space="preserve">Dnyaneshwari </t>
  </si>
  <si>
    <t xml:space="preserve">Yawalkar </t>
  </si>
  <si>
    <t>Duke</t>
  </si>
  <si>
    <t>Lott</t>
  </si>
  <si>
    <t>Dylan</t>
  </si>
  <si>
    <t>Lopez</t>
  </si>
  <si>
    <t>Easton</t>
  </si>
  <si>
    <t>Cannon</t>
  </si>
  <si>
    <t>El Cid</t>
  </si>
  <si>
    <t>Liebrecht</t>
  </si>
  <si>
    <t>Eleanor</t>
  </si>
  <si>
    <t>Aughenbaugh</t>
  </si>
  <si>
    <t>Bader</t>
  </si>
  <si>
    <t>Roberts</t>
  </si>
  <si>
    <t>Singer</t>
  </si>
  <si>
    <t>Eli</t>
  </si>
  <si>
    <t>Gray</t>
  </si>
  <si>
    <t>Elias</t>
  </si>
  <si>
    <t>Combee</t>
  </si>
  <si>
    <t>Elio</t>
  </si>
  <si>
    <t xml:space="preserve">Elissa </t>
  </si>
  <si>
    <t>Ulrich</t>
  </si>
  <si>
    <t xml:space="preserve">Elizabeth </t>
  </si>
  <si>
    <t>Weber</t>
  </si>
  <si>
    <t>Ella</t>
  </si>
  <si>
    <t>Heimer</t>
  </si>
  <si>
    <t>Porter</t>
  </si>
  <si>
    <t>Elle</t>
  </si>
  <si>
    <t>Jervis</t>
  </si>
  <si>
    <t>Ellen</t>
  </si>
  <si>
    <t>Pehl</t>
  </si>
  <si>
    <t>Elliott</t>
  </si>
  <si>
    <t>Curry</t>
  </si>
  <si>
    <t>Keith</t>
  </si>
  <si>
    <t>Ellis</t>
  </si>
  <si>
    <t>Reddam</t>
  </si>
  <si>
    <t>Emerson</t>
  </si>
  <si>
    <t>Bedrosian</t>
  </si>
  <si>
    <t>Kestner</t>
  </si>
  <si>
    <t>Emily</t>
  </si>
  <si>
    <t>Holton</t>
  </si>
  <si>
    <t>Emma</t>
  </si>
  <si>
    <t>Strama</t>
  </si>
  <si>
    <t>Wintemute</t>
  </si>
  <si>
    <t>Emmett</t>
  </si>
  <si>
    <t>Seales</t>
  </si>
  <si>
    <t>Eshan</t>
  </si>
  <si>
    <t>Lakshmanan-Gulley</t>
  </si>
  <si>
    <t>Etta</t>
  </si>
  <si>
    <t>Moskowitz</t>
  </si>
  <si>
    <t>Evabel</t>
  </si>
  <si>
    <t>Becker-Skott</t>
  </si>
  <si>
    <t>Evan</t>
  </si>
  <si>
    <t>Meyer</t>
  </si>
  <si>
    <t xml:space="preserve">Evan </t>
  </si>
  <si>
    <t>Kim</t>
  </si>
  <si>
    <t>Eve</t>
  </si>
  <si>
    <t>Boulette</t>
  </si>
  <si>
    <t>Evelyn</t>
  </si>
  <si>
    <t>Hanna</t>
  </si>
  <si>
    <t xml:space="preserve">Fawkes </t>
  </si>
  <si>
    <t xml:space="preserve">Hendrie </t>
  </si>
  <si>
    <t>Finley</t>
  </si>
  <si>
    <t>Tracy</t>
  </si>
  <si>
    <t>Florence</t>
  </si>
  <si>
    <t>Shott</t>
  </si>
  <si>
    <t>Franklin</t>
  </si>
  <si>
    <t>Holleman</t>
  </si>
  <si>
    <t xml:space="preserve">Gabriel </t>
  </si>
  <si>
    <t>Tang</t>
  </si>
  <si>
    <t>Gala</t>
  </si>
  <si>
    <t>Quintero</t>
  </si>
  <si>
    <t>Gavin</t>
  </si>
  <si>
    <t xml:space="preserve">Dobinsky </t>
  </si>
  <si>
    <t>George</t>
  </si>
  <si>
    <t>Flesher</t>
  </si>
  <si>
    <t>Joyoprayitno</t>
  </si>
  <si>
    <t>Georgia</t>
  </si>
  <si>
    <t>Ambrose</t>
  </si>
  <si>
    <t xml:space="preserve">Geraint </t>
  </si>
  <si>
    <t>House</t>
  </si>
  <si>
    <t>Graham</t>
  </si>
  <si>
    <t>Hines</t>
  </si>
  <si>
    <t xml:space="preserve">Hadley </t>
  </si>
  <si>
    <t>Ahern</t>
  </si>
  <si>
    <t>Hamad</t>
  </si>
  <si>
    <t xml:space="preserve"> Al sawalma</t>
  </si>
  <si>
    <t>Hamsika</t>
  </si>
  <si>
    <t>Ellore</t>
  </si>
  <si>
    <t>Hamza</t>
  </si>
  <si>
    <t xml:space="preserve">Siegel </t>
  </si>
  <si>
    <t>Hank</t>
  </si>
  <si>
    <t>Truty</t>
  </si>
  <si>
    <t>Hannah</t>
  </si>
  <si>
    <t>Cassel</t>
  </si>
  <si>
    <t>Harini</t>
  </si>
  <si>
    <t>Senthil Arasu</t>
  </si>
  <si>
    <t>Hawk</t>
  </si>
  <si>
    <t>Norman</t>
  </si>
  <si>
    <t>Hayes</t>
  </si>
  <si>
    <t>Hatfield</t>
  </si>
  <si>
    <t>Henry</t>
  </si>
  <si>
    <t>Brabham</t>
  </si>
  <si>
    <t>Dayton</t>
  </si>
  <si>
    <t>Peacock</t>
  </si>
  <si>
    <t>Pell</t>
  </si>
  <si>
    <t>Hudson</t>
  </si>
  <si>
    <t>Webb</t>
  </si>
  <si>
    <t>Ian</t>
  </si>
  <si>
    <t>Ike</t>
  </si>
  <si>
    <t>Ziegler</t>
  </si>
  <si>
    <t>Ila</t>
  </si>
  <si>
    <t>Wright</t>
  </si>
  <si>
    <t>Inés</t>
  </si>
  <si>
    <t>Cisneros</t>
  </si>
  <si>
    <t>Ingram</t>
  </si>
  <si>
    <t>Isaac</t>
  </si>
  <si>
    <t>Jack</t>
  </si>
  <si>
    <t>DeShazo</t>
  </si>
  <si>
    <t>Simpson</t>
  </si>
  <si>
    <t>Spotts</t>
  </si>
  <si>
    <t xml:space="preserve">Jacob </t>
  </si>
  <si>
    <t xml:space="preserve">Griesemer </t>
  </si>
  <si>
    <t>Jacqui</t>
  </si>
  <si>
    <t>Cherng</t>
  </si>
  <si>
    <t>Jagger</t>
  </si>
  <si>
    <t>Sanchez</t>
  </si>
  <si>
    <t>James</t>
  </si>
  <si>
    <t>Zepeda</t>
  </si>
  <si>
    <t>Jane</t>
  </si>
  <si>
    <t>Pirkl</t>
  </si>
  <si>
    <t xml:space="preserve">Jasmine </t>
  </si>
  <si>
    <t>Poon</t>
  </si>
  <si>
    <t>Javier</t>
  </si>
  <si>
    <t>Gonzalez</t>
  </si>
  <si>
    <t>Jax</t>
  </si>
  <si>
    <t xml:space="preserve">Enriquez </t>
  </si>
  <si>
    <t>Jessie</t>
  </si>
  <si>
    <t>Subido</t>
  </si>
  <si>
    <t>Joaquin</t>
  </si>
  <si>
    <t>Cuellar-Rojas</t>
  </si>
  <si>
    <t>John Fox</t>
  </si>
  <si>
    <t>Williams</t>
  </si>
  <si>
    <t>Josef</t>
  </si>
  <si>
    <t>Weiner</t>
  </si>
  <si>
    <t>Joseph</t>
  </si>
  <si>
    <t>Salinas</t>
  </si>
  <si>
    <t>Josephine</t>
  </si>
  <si>
    <t>Law</t>
  </si>
  <si>
    <t>Jules</t>
  </si>
  <si>
    <t>Starcher</t>
  </si>
  <si>
    <t>Julian</t>
  </si>
  <si>
    <t>Saenz</t>
  </si>
  <si>
    <t>Juliana</t>
  </si>
  <si>
    <t>Juni</t>
  </si>
  <si>
    <t>Booth</t>
  </si>
  <si>
    <t>Kai</t>
  </si>
  <si>
    <t>Gadd-Shefman</t>
  </si>
  <si>
    <t>Kaleb</t>
  </si>
  <si>
    <t>Perez</t>
  </si>
  <si>
    <t>Karina</t>
  </si>
  <si>
    <t>Gutierrez</t>
  </si>
  <si>
    <t xml:space="preserve">Kate </t>
  </si>
  <si>
    <t>Horner</t>
  </si>
  <si>
    <t>Katherine</t>
  </si>
  <si>
    <t>Lee</t>
  </si>
  <si>
    <t xml:space="preserve">Katherine </t>
  </si>
  <si>
    <t>Katie</t>
  </si>
  <si>
    <t>Shannan</t>
  </si>
  <si>
    <t>Kaylin</t>
  </si>
  <si>
    <t>Kellan</t>
  </si>
  <si>
    <t>Douglas</t>
  </si>
  <si>
    <t>Kirthna</t>
  </si>
  <si>
    <t>Nanduru</t>
  </si>
  <si>
    <t>Kundana</t>
  </si>
  <si>
    <t>Addala</t>
  </si>
  <si>
    <t>Kyle</t>
  </si>
  <si>
    <t>Durkop</t>
  </si>
  <si>
    <t xml:space="preserve">Kyril </t>
  </si>
  <si>
    <t>Hadzi-Antich</t>
  </si>
  <si>
    <t>Lainey</t>
  </si>
  <si>
    <t>Lauer</t>
  </si>
  <si>
    <t>Lance Daniel</t>
  </si>
  <si>
    <t>Larry</t>
  </si>
  <si>
    <t>Lauren</t>
  </si>
  <si>
    <t>Leo</t>
  </si>
  <si>
    <t>Hanson</t>
  </si>
  <si>
    <t>Tagle</t>
  </si>
  <si>
    <t>Lexi</t>
  </si>
  <si>
    <t>Kaighin</t>
  </si>
  <si>
    <t>Lexie</t>
  </si>
  <si>
    <t>Marr</t>
  </si>
  <si>
    <t>Liam</t>
  </si>
  <si>
    <t>Peters</t>
  </si>
  <si>
    <t>Linden</t>
  </si>
  <si>
    <t>Tao</t>
  </si>
  <si>
    <t>Lisa</t>
  </si>
  <si>
    <t>Lickteig</t>
  </si>
  <si>
    <t>Liza</t>
  </si>
  <si>
    <t>Lola</t>
  </si>
  <si>
    <t>Palmer</t>
  </si>
  <si>
    <t>London</t>
  </si>
  <si>
    <t>Lottie</t>
  </si>
  <si>
    <t>Borer</t>
  </si>
  <si>
    <t>Louella</t>
  </si>
  <si>
    <t>Cathell</t>
  </si>
  <si>
    <t>Louis</t>
  </si>
  <si>
    <t>Garcia</t>
  </si>
  <si>
    <t>Marchand</t>
  </si>
  <si>
    <t>Louisa</t>
  </si>
  <si>
    <t>Marcek</t>
  </si>
  <si>
    <t>Lucy</t>
  </si>
  <si>
    <t>Wolff</t>
  </si>
  <si>
    <t>Luis</t>
  </si>
  <si>
    <t>Trejo</t>
  </si>
  <si>
    <t xml:space="preserve">Luisa </t>
  </si>
  <si>
    <t>Shanahan</t>
  </si>
  <si>
    <t>Luke</t>
  </si>
  <si>
    <t>Schaeffer</t>
  </si>
  <si>
    <t>Lyla</t>
  </si>
  <si>
    <t>Woodland</t>
  </si>
  <si>
    <t>Maddie</t>
  </si>
  <si>
    <t>Hunte-Beasley</t>
  </si>
  <si>
    <t>Yellman</t>
  </si>
  <si>
    <t xml:space="preserve">Madeleine </t>
  </si>
  <si>
    <t>Tremblay</t>
  </si>
  <si>
    <t>Madeline</t>
  </si>
  <si>
    <t>Forbes</t>
  </si>
  <si>
    <t xml:space="preserve">Marco </t>
  </si>
  <si>
    <t>Campagna</t>
  </si>
  <si>
    <t xml:space="preserve">Campagna </t>
  </si>
  <si>
    <t>Margaret</t>
  </si>
  <si>
    <t>Thomason</t>
  </si>
  <si>
    <t>Margot</t>
  </si>
  <si>
    <t>Jacobson</t>
  </si>
  <si>
    <t>Schumaker</t>
  </si>
  <si>
    <t>Mateo</t>
  </si>
  <si>
    <t>Rodriguez</t>
  </si>
  <si>
    <t>Matthew</t>
  </si>
  <si>
    <t>Eaves</t>
  </si>
  <si>
    <t>McCabe</t>
  </si>
  <si>
    <t>Swaim</t>
  </si>
  <si>
    <t xml:space="preserve">Matthew </t>
  </si>
  <si>
    <t>Max</t>
  </si>
  <si>
    <t>Oliver</t>
  </si>
  <si>
    <t>Maya</t>
  </si>
  <si>
    <t>Berger</t>
  </si>
  <si>
    <t>Melea</t>
  </si>
  <si>
    <t>Carman</t>
  </si>
  <si>
    <t xml:space="preserve">Melodi </t>
  </si>
  <si>
    <t xml:space="preserve">Alti </t>
  </si>
  <si>
    <t>Mia</t>
  </si>
  <si>
    <t>Alcorta</t>
  </si>
  <si>
    <t>Paz</t>
  </si>
  <si>
    <t>Miles</t>
  </si>
  <si>
    <t>Cunningham</t>
  </si>
  <si>
    <t>Trentham</t>
  </si>
  <si>
    <t>Yeoman</t>
  </si>
  <si>
    <t>Milo</t>
  </si>
  <si>
    <t>McHenry</t>
  </si>
  <si>
    <t>Mithra</t>
  </si>
  <si>
    <t>Krishnan</t>
  </si>
  <si>
    <t>Molly</t>
  </si>
  <si>
    <t>Enno</t>
  </si>
  <si>
    <t>Nellie</t>
  </si>
  <si>
    <t>Quist</t>
  </si>
  <si>
    <t>Nico</t>
  </si>
  <si>
    <t>Volluz</t>
  </si>
  <si>
    <t>Niko</t>
  </si>
  <si>
    <t>Vega</t>
  </si>
  <si>
    <t>Nina</t>
  </si>
  <si>
    <t>Fedyszyn</t>
  </si>
  <si>
    <t>Noelani</t>
  </si>
  <si>
    <t>Aravind</t>
  </si>
  <si>
    <t>Noelle</t>
  </si>
  <si>
    <t>Norah</t>
  </si>
  <si>
    <t>Ogden</t>
  </si>
  <si>
    <t>Wyman</t>
  </si>
  <si>
    <t>Lovan</t>
  </si>
  <si>
    <t>Magic</t>
  </si>
  <si>
    <t>Nelson</t>
  </si>
  <si>
    <t>Tally</t>
  </si>
  <si>
    <t>Olivia</t>
  </si>
  <si>
    <t>Hensley</t>
  </si>
  <si>
    <t>Lackey</t>
  </si>
  <si>
    <t>Mansuri</t>
  </si>
  <si>
    <t>Vinson</t>
  </si>
  <si>
    <t>Oscar</t>
  </si>
  <si>
    <t>Busch</t>
  </si>
  <si>
    <t>Owen</t>
  </si>
  <si>
    <t>Harp</t>
  </si>
  <si>
    <t>Pablo</t>
  </si>
  <si>
    <t xml:space="preserve">Paloma </t>
  </si>
  <si>
    <t>Lewis</t>
  </si>
  <si>
    <t>Parker</t>
  </si>
  <si>
    <t>Gould</t>
  </si>
  <si>
    <t>Ziller</t>
  </si>
  <si>
    <t>Patrick</t>
  </si>
  <si>
    <t>Doody</t>
  </si>
  <si>
    <t xml:space="preserve">Pauline </t>
  </si>
  <si>
    <t>Pearl</t>
  </si>
  <si>
    <t>Denny</t>
  </si>
  <si>
    <t>Peityn</t>
  </si>
  <si>
    <t>Brothwell-Hernandez</t>
  </si>
  <si>
    <t>Penelope</t>
  </si>
  <si>
    <t xml:space="preserve">Penelope </t>
  </si>
  <si>
    <t xml:space="preserve">Papavasiliou </t>
  </si>
  <si>
    <t>Peyton</t>
  </si>
  <si>
    <t>Hall</t>
  </si>
  <si>
    <t>Lauv</t>
  </si>
  <si>
    <t>Quinn</t>
  </si>
  <si>
    <t>Ellmer</t>
  </si>
  <si>
    <t>Ray</t>
  </si>
  <si>
    <t>Lindenschmidt</t>
  </si>
  <si>
    <t>Rayne</t>
  </si>
  <si>
    <t>Bakhshi</t>
  </si>
  <si>
    <t>Reed</t>
  </si>
  <si>
    <t>Freytag</t>
  </si>
  <si>
    <t xml:space="preserve">Reed </t>
  </si>
  <si>
    <t>Davis</t>
  </si>
  <si>
    <t>Reid</t>
  </si>
  <si>
    <t>McKay</t>
  </si>
  <si>
    <t>Reiyuan</t>
  </si>
  <si>
    <t xml:space="preserve">Rekepalli </t>
  </si>
  <si>
    <t>Roane</t>
  </si>
  <si>
    <t>Heining</t>
  </si>
  <si>
    <t>Robin</t>
  </si>
  <si>
    <t>Rory</t>
  </si>
  <si>
    <t>Rosa</t>
  </si>
  <si>
    <t>Vargas</t>
  </si>
  <si>
    <t>Rose</t>
  </si>
  <si>
    <t>Patterson</t>
  </si>
  <si>
    <t>Underwood</t>
  </si>
  <si>
    <t>Ruby</t>
  </si>
  <si>
    <t>Bullard</t>
  </si>
  <si>
    <t>Cornwell</t>
  </si>
  <si>
    <t>Wallace Ho</t>
  </si>
  <si>
    <t>Saahil</t>
  </si>
  <si>
    <t>Kamath</t>
  </si>
  <si>
    <t>Salvador</t>
  </si>
  <si>
    <t>Lofat</t>
  </si>
  <si>
    <t>sam</t>
  </si>
  <si>
    <t>archer</t>
  </si>
  <si>
    <t>Samantha</t>
  </si>
  <si>
    <t>Samanvitha</t>
  </si>
  <si>
    <t>Sammie</t>
  </si>
  <si>
    <t>Garel</t>
  </si>
  <si>
    <t>Sarah</t>
  </si>
  <si>
    <t>Tong</t>
  </si>
  <si>
    <t>Sarita</t>
  </si>
  <si>
    <t>Ceballos</t>
  </si>
  <si>
    <t xml:space="preserve">Sarita </t>
  </si>
  <si>
    <t>CEBALLOS</t>
  </si>
  <si>
    <t>Sawyer</t>
  </si>
  <si>
    <t>Mendez</t>
  </si>
  <si>
    <t>Scarlett</t>
  </si>
  <si>
    <t>Tashnick</t>
  </si>
  <si>
    <t xml:space="preserve">sean </t>
  </si>
  <si>
    <t>sander</t>
  </si>
  <si>
    <t>Senna</t>
  </si>
  <si>
    <t>Tureen</t>
  </si>
  <si>
    <t>Seva</t>
  </si>
  <si>
    <t>Deshpande</t>
  </si>
  <si>
    <t xml:space="preserve">Sidarth </t>
  </si>
  <si>
    <t>Senthil</t>
  </si>
  <si>
    <t>Simon</t>
  </si>
  <si>
    <t>Saldana</t>
  </si>
  <si>
    <t>Windler</t>
  </si>
  <si>
    <t>Skarlett</t>
  </si>
  <si>
    <t>Hernandez</t>
  </si>
  <si>
    <t>Skye</t>
  </si>
  <si>
    <t>Sloane</t>
  </si>
  <si>
    <t>Gormin</t>
  </si>
  <si>
    <t xml:space="preserve">Sofia </t>
  </si>
  <si>
    <t>Hake</t>
  </si>
  <si>
    <t xml:space="preserve">Pedregon Harrington </t>
  </si>
  <si>
    <t>Sofie</t>
  </si>
  <si>
    <t>Sophia</t>
  </si>
  <si>
    <t>Escamilla</t>
  </si>
  <si>
    <t>Najera</t>
  </si>
  <si>
    <t>Stella</t>
  </si>
  <si>
    <t>Dooner</t>
  </si>
  <si>
    <t xml:space="preserve">Stella </t>
  </si>
  <si>
    <t>Sumers</t>
  </si>
  <si>
    <t>Stella Mia</t>
  </si>
  <si>
    <t>Mercado Rodriguez</t>
  </si>
  <si>
    <t>Sullivan</t>
  </si>
  <si>
    <t>McComb</t>
  </si>
  <si>
    <t xml:space="preserve">Sullivan </t>
  </si>
  <si>
    <t>Willyard</t>
  </si>
  <si>
    <t>Sydney</t>
  </si>
  <si>
    <t>Lucas</t>
  </si>
  <si>
    <t>Tania</t>
  </si>
  <si>
    <t xml:space="preserve">Murillo </t>
  </si>
  <si>
    <t>Thomas</t>
  </si>
  <si>
    <t>Burns</t>
  </si>
  <si>
    <t>Tiago</t>
  </si>
  <si>
    <t>Tom</t>
  </si>
  <si>
    <t>Sawicki</t>
  </si>
  <si>
    <t>Torsten</t>
  </si>
  <si>
    <t>Hess</t>
  </si>
  <si>
    <t>Toshi</t>
  </si>
  <si>
    <t>Traver</t>
  </si>
  <si>
    <t>Laudadio</t>
  </si>
  <si>
    <t>Truett</t>
  </si>
  <si>
    <t>Shaw</t>
  </si>
  <si>
    <t>Ty</t>
  </si>
  <si>
    <t xml:space="preserve">Camp </t>
  </si>
  <si>
    <t>Tyler</t>
  </si>
  <si>
    <t>Truitt</t>
  </si>
  <si>
    <t>Vera</t>
  </si>
  <si>
    <t>Burnett</t>
  </si>
  <si>
    <t>Vincent</t>
  </si>
  <si>
    <t>Merritt</t>
  </si>
  <si>
    <t>Vivian</t>
  </si>
  <si>
    <t>Dickenson</t>
  </si>
  <si>
    <t>Will</t>
  </si>
  <si>
    <t>Swan</t>
  </si>
  <si>
    <t>Turner</t>
  </si>
  <si>
    <t>Vaughan</t>
  </si>
  <si>
    <t>Winslet</t>
  </si>
  <si>
    <t>McGuire</t>
  </si>
  <si>
    <t>Wren</t>
  </si>
  <si>
    <t>Griffis</t>
  </si>
  <si>
    <t>Wyatt</t>
  </si>
  <si>
    <t>Rogers</t>
  </si>
  <si>
    <t>Ziya</t>
  </si>
  <si>
    <t>Heath</t>
  </si>
  <si>
    <t>Zoe</t>
  </si>
  <si>
    <t xml:space="preserve">Abramowitz </t>
  </si>
  <si>
    <t>Row Labels</t>
  </si>
  <si>
    <t>School Name</t>
  </si>
  <si>
    <t>Division</t>
  </si>
  <si>
    <t>Y</t>
  </si>
  <si>
    <t>Britt</t>
  </si>
  <si>
    <t>Combined 10's</t>
  </si>
  <si>
    <t>HS</t>
  </si>
  <si>
    <t>Elem</t>
  </si>
  <si>
    <t>MS</t>
  </si>
  <si>
    <t>Team Scores HS</t>
  </si>
  <si>
    <t>McCallum</t>
  </si>
  <si>
    <t>Team Scores MS</t>
  </si>
  <si>
    <t>Team Scores ES</t>
  </si>
  <si>
    <t>Brentwood</t>
  </si>
  <si>
    <t>Highland Park</t>
  </si>
  <si>
    <t>Kealing</t>
  </si>
  <si>
    <t>Lamar</t>
  </si>
  <si>
    <t>Ann Richards HS</t>
  </si>
  <si>
    <t>Ann Richards MS</t>
  </si>
  <si>
    <t>Magellan</t>
  </si>
  <si>
    <t>Brentwood Team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</si>
</sst>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rgb="FFEDD07B"/>
      <name val="Arial"/>
      <family val="2"/>
    </font>
    <font>
      <sz val="9"/>
      <color rgb="FFEDD07B"/>
      <name val="Arial"/>
      <family val="2"/>
    </font>
    <font>
      <sz val="11"/>
      <color theme="1"/>
      <name val="Arial"/>
      <family val="2"/>
    </font>
    <font>
      <sz val="13"/>
      <color rgb="FF0C223E"/>
      <name val="Esteban"/>
    </font>
    <font>
      <b/>
      <sz val="13"/>
      <color rgb="FF0C223E"/>
      <name val="Esteban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0C223E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C223E"/>
      <name val="Esteban"/>
    </font>
    <font>
      <sz val="10"/>
      <color rgb="FF0C223E"/>
      <name val="Esteban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A0303"/>
        <bgColor rgb="FF8A0303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10" fillId="0" borderId="0" xfId="0" applyFont="1"/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" fillId="0" borderId="0" xfId="0" applyFont="1"/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9" fillId="0" borderId="0" xfId="0" applyFont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4878-0F06-487C-8994-797874F77504}">
  <sheetPr filterMode="1"/>
  <dimension ref="A1:N358"/>
  <sheetViews>
    <sheetView tabSelected="1" topLeftCell="B1" workbookViewId="0">
      <selection activeCell="AI216" sqref="AI215:AI216"/>
    </sheetView>
  </sheetViews>
  <sheetFormatPr defaultRowHeight="15"/>
  <cols>
    <col min="1" max="2" width="9.140625" style="11"/>
    <col min="3" max="3" width="21.28515625" customWidth="1"/>
    <col min="4" max="4" width="26.5703125" customWidth="1"/>
    <col min="5" max="5" width="13.42578125" customWidth="1"/>
    <col min="7" max="7" width="15.7109375" customWidth="1"/>
    <col min="8" max="8" width="10.7109375" customWidth="1"/>
    <col min="9" max="9" width="11.7109375" style="11" customWidth="1"/>
    <col min="10" max="10" width="6.7109375" style="11" customWidth="1"/>
    <col min="11" max="11" width="12" customWidth="1"/>
    <col min="12" max="12" width="8.7109375" customWidth="1"/>
  </cols>
  <sheetData>
    <row r="1" spans="1:12" s="14" customFormat="1" ht="27">
      <c r="A1" s="15" t="s">
        <v>7</v>
      </c>
      <c r="B1" s="15" t="s">
        <v>1017</v>
      </c>
      <c r="C1" s="12" t="s">
        <v>0</v>
      </c>
      <c r="D1" s="12" t="s">
        <v>1</v>
      </c>
      <c r="E1" s="12" t="s">
        <v>8</v>
      </c>
      <c r="F1" s="13" t="s">
        <v>4</v>
      </c>
      <c r="G1" s="13" t="s">
        <v>385</v>
      </c>
      <c r="H1" s="13" t="s">
        <v>386</v>
      </c>
      <c r="I1" s="13" t="s">
        <v>9</v>
      </c>
      <c r="J1" s="13" t="s">
        <v>10</v>
      </c>
      <c r="K1" s="13" t="s">
        <v>383</v>
      </c>
      <c r="L1" s="13" t="s">
        <v>384</v>
      </c>
    </row>
    <row r="2" spans="1:12" hidden="1">
      <c r="A2" s="16">
        <v>10001</v>
      </c>
      <c r="B2" s="16" t="str">
        <f>VLOOKUP(A2,'Reg Sheet'!A$2:F$357,6,FALSE)</f>
        <v>HS</v>
      </c>
      <c r="C2" s="4" t="s">
        <v>11</v>
      </c>
      <c r="D2" s="4" t="s">
        <v>12</v>
      </c>
      <c r="E2" s="4" t="str">
        <f>VLOOKUP(A2,'Reg Sheet'!A$2:G$357,7,FALSE)</f>
        <v>11th</v>
      </c>
      <c r="F2" s="5" t="s">
        <v>13</v>
      </c>
      <c r="G2" s="5">
        <f t="shared" ref="G2:G65" ca="1" si="0">I2+K2</f>
        <v>410</v>
      </c>
      <c r="H2" s="5">
        <f t="shared" ref="H2:H65" ca="1" si="1">J2+L2</f>
        <v>4</v>
      </c>
      <c r="I2" s="5">
        <v>226</v>
      </c>
      <c r="J2" s="5">
        <v>2</v>
      </c>
      <c r="K2" s="5">
        <f ca="1">VLOOKUP(A2,'Kealing Site'!$A$2:$E$338,5,FALSE)</f>
        <v>184</v>
      </c>
      <c r="L2" s="5">
        <f ca="1">VLOOKUP(A2,'Kealing Site'!$A$2:$F$338,6,FALSE)</f>
        <v>2</v>
      </c>
    </row>
    <row r="3" spans="1:12" hidden="1">
      <c r="A3" s="16">
        <v>10002</v>
      </c>
      <c r="B3" s="16" t="str">
        <f>VLOOKUP(A3,'Reg Sheet'!A$2:F$357,6,FALSE)</f>
        <v>HS</v>
      </c>
      <c r="C3" s="4" t="s">
        <v>14</v>
      </c>
      <c r="D3" s="4" t="s">
        <v>12</v>
      </c>
      <c r="E3" s="4" t="str">
        <f>VLOOKUP(A3,'Reg Sheet'!A$2:G$357,7,FALSE)</f>
        <v>9th</v>
      </c>
      <c r="F3" s="5" t="s">
        <v>15</v>
      </c>
      <c r="G3" s="5">
        <f t="shared" ca="1" si="0"/>
        <v>541</v>
      </c>
      <c r="H3" s="5">
        <f t="shared" ca="1" si="1"/>
        <v>21</v>
      </c>
      <c r="I3" s="5">
        <v>270</v>
      </c>
      <c r="J3" s="5">
        <v>11</v>
      </c>
      <c r="K3" s="5">
        <f ca="1">VLOOKUP(A3,'Kealing Site'!$A$2:$E$338,5,FALSE)</f>
        <v>271</v>
      </c>
      <c r="L3" s="5">
        <f ca="1">VLOOKUP(A3,'Kealing Site'!$A$2:$F$338,6,FALSE)</f>
        <v>10</v>
      </c>
    </row>
    <row r="4" spans="1:12" hidden="1">
      <c r="A4" s="16">
        <v>10003</v>
      </c>
      <c r="B4" s="16" t="str">
        <f>VLOOKUP(A4,'Reg Sheet'!A$2:F$357,6,FALSE)</f>
        <v>HS</v>
      </c>
      <c r="C4" s="4" t="s">
        <v>16</v>
      </c>
      <c r="D4" s="4" t="s">
        <v>12</v>
      </c>
      <c r="E4" s="4" t="str">
        <f>VLOOKUP(A4,'Reg Sheet'!A$2:G$357,7,FALSE)</f>
        <v>9th</v>
      </c>
      <c r="F4" s="5" t="s">
        <v>13</v>
      </c>
      <c r="G4" s="5">
        <f t="shared" ca="1" si="0"/>
        <v>477</v>
      </c>
      <c r="H4" s="5">
        <f t="shared" ca="1" si="1"/>
        <v>9</v>
      </c>
      <c r="I4" s="5">
        <v>241</v>
      </c>
      <c r="J4" s="5">
        <v>2</v>
      </c>
      <c r="K4" s="5">
        <f ca="1">VLOOKUP(A4,'Kealing Site'!$A$2:$E$338,5,FALSE)</f>
        <v>236</v>
      </c>
      <c r="L4" s="5">
        <f ca="1">VLOOKUP(A4,'Kealing Site'!$A$2:$F$338,6,FALSE)</f>
        <v>7</v>
      </c>
    </row>
    <row r="5" spans="1:12" hidden="1">
      <c r="A5" s="16">
        <v>10004</v>
      </c>
      <c r="B5" s="16" t="str">
        <f>VLOOKUP(A5,'Reg Sheet'!A$2:F$357,6,FALSE)</f>
        <v>HS</v>
      </c>
      <c r="C5" s="4" t="s">
        <v>17</v>
      </c>
      <c r="D5" s="4" t="s">
        <v>12</v>
      </c>
      <c r="E5" s="4" t="str">
        <f>VLOOKUP(A5,'Reg Sheet'!A$2:G$357,7,FALSE)</f>
        <v>10th</v>
      </c>
      <c r="F5" s="5" t="s">
        <v>15</v>
      </c>
      <c r="G5" s="5">
        <f t="shared" ca="1" si="0"/>
        <v>469</v>
      </c>
      <c r="H5" s="5">
        <f t="shared" ca="1" si="1"/>
        <v>7</v>
      </c>
      <c r="I5" s="5">
        <v>248</v>
      </c>
      <c r="J5" s="5">
        <v>6</v>
      </c>
      <c r="K5" s="5">
        <f ca="1">VLOOKUP(A5,'Kealing Site'!$A$2:$E$338,5,FALSE)</f>
        <v>221</v>
      </c>
      <c r="L5" s="5">
        <f ca="1">VLOOKUP(A5,'Kealing Site'!$A$2:$F$338,6,FALSE)</f>
        <v>1</v>
      </c>
    </row>
    <row r="6" spans="1:12" hidden="1">
      <c r="A6" s="16">
        <v>10005</v>
      </c>
      <c r="B6" s="16" t="str">
        <f>VLOOKUP(A6,'Reg Sheet'!A$2:F$357,6,FALSE)</f>
        <v>HS</v>
      </c>
      <c r="C6" s="4" t="s">
        <v>18</v>
      </c>
      <c r="D6" s="4" t="s">
        <v>12</v>
      </c>
      <c r="E6" s="4" t="str">
        <f>VLOOKUP(A6,'Reg Sheet'!A$2:G$357,7,FALSE)</f>
        <v>11th</v>
      </c>
      <c r="F6" s="5" t="s">
        <v>13</v>
      </c>
      <c r="G6" s="5">
        <f t="shared" ca="1" si="0"/>
        <v>435</v>
      </c>
      <c r="H6" s="5">
        <f t="shared" ca="1" si="1"/>
        <v>10</v>
      </c>
      <c r="I6" s="5">
        <v>219</v>
      </c>
      <c r="J6" s="5">
        <v>5</v>
      </c>
      <c r="K6" s="5">
        <f ca="1">VLOOKUP(A6,'Kealing Site'!$A$2:$E$338,5,FALSE)</f>
        <v>216</v>
      </c>
      <c r="L6" s="5">
        <f ca="1">VLOOKUP(A6,'Kealing Site'!$A$2:$F$338,6,FALSE)</f>
        <v>5</v>
      </c>
    </row>
    <row r="7" spans="1:12" hidden="1">
      <c r="A7" s="16">
        <v>10006</v>
      </c>
      <c r="B7" s="16" t="str">
        <f>VLOOKUP(A7,'Reg Sheet'!A$2:F$357,6,FALSE)</f>
        <v>HS</v>
      </c>
      <c r="C7" s="4" t="s">
        <v>19</v>
      </c>
      <c r="D7" s="4" t="s">
        <v>12</v>
      </c>
      <c r="E7" s="4" t="str">
        <f>VLOOKUP(A7,'Reg Sheet'!A$2:G$357,7,FALSE)</f>
        <v>11th</v>
      </c>
      <c r="F7" s="5" t="s">
        <v>13</v>
      </c>
      <c r="G7" s="5">
        <f t="shared" ca="1" si="0"/>
        <v>419</v>
      </c>
      <c r="H7" s="5">
        <f t="shared" ca="1" si="1"/>
        <v>5</v>
      </c>
      <c r="I7" s="5">
        <v>203</v>
      </c>
      <c r="J7" s="5">
        <v>1</v>
      </c>
      <c r="K7" s="5">
        <f ca="1">VLOOKUP(A7,'Kealing Site'!$A$2:$E$338,5,FALSE)</f>
        <v>216</v>
      </c>
      <c r="L7" s="5">
        <f ca="1">VLOOKUP(A7,'Kealing Site'!$A$2:$F$338,6,FALSE)</f>
        <v>4</v>
      </c>
    </row>
    <row r="8" spans="1:12" hidden="1">
      <c r="A8" s="16">
        <v>10007</v>
      </c>
      <c r="B8" s="16" t="str">
        <f>VLOOKUP(A8,'Reg Sheet'!A$2:F$357,6,FALSE)</f>
        <v>HS</v>
      </c>
      <c r="C8" s="4" t="s">
        <v>20</v>
      </c>
      <c r="D8" s="4" t="s">
        <v>12</v>
      </c>
      <c r="E8" s="4" t="str">
        <f>VLOOKUP(A8,'Reg Sheet'!A$2:G$357,7,FALSE)</f>
        <v>9th</v>
      </c>
      <c r="F8" s="5" t="s">
        <v>13</v>
      </c>
      <c r="G8" s="5">
        <f t="shared" ca="1" si="0"/>
        <v>512</v>
      </c>
      <c r="H8" s="5">
        <f t="shared" ca="1" si="1"/>
        <v>14</v>
      </c>
      <c r="I8" s="5">
        <v>261</v>
      </c>
      <c r="J8" s="5">
        <v>8</v>
      </c>
      <c r="K8" s="5">
        <f ca="1">VLOOKUP(A8,'Kealing Site'!$A$2:$E$338,5,FALSE)</f>
        <v>251</v>
      </c>
      <c r="L8" s="5">
        <f ca="1">VLOOKUP(A8,'Kealing Site'!$A$2:$F$338,6,FALSE)</f>
        <v>6</v>
      </c>
    </row>
    <row r="9" spans="1:12" hidden="1">
      <c r="A9" s="16">
        <v>10008</v>
      </c>
      <c r="B9" s="16" t="str">
        <f>VLOOKUP(A9,'Reg Sheet'!A$2:F$357,6,FALSE)</f>
        <v>HS</v>
      </c>
      <c r="C9" s="4" t="s">
        <v>21</v>
      </c>
      <c r="D9" s="4" t="s">
        <v>12</v>
      </c>
      <c r="E9" s="4" t="str">
        <f>VLOOKUP(A9,'Reg Sheet'!A$2:G$357,7,FALSE)</f>
        <v>9th</v>
      </c>
      <c r="F9" s="5" t="s">
        <v>13</v>
      </c>
      <c r="G9" s="5">
        <f t="shared" ca="1" si="0"/>
        <v>453</v>
      </c>
      <c r="H9" s="5">
        <f t="shared" ca="1" si="1"/>
        <v>3</v>
      </c>
      <c r="I9" s="5">
        <v>219</v>
      </c>
      <c r="J9" s="5">
        <v>2</v>
      </c>
      <c r="K9" s="5">
        <f ca="1">VLOOKUP(A9,'Kealing Site'!$A$2:$E$338,5,FALSE)</f>
        <v>234</v>
      </c>
      <c r="L9" s="5">
        <f ca="1">VLOOKUP(A9,'Kealing Site'!$A$2:$F$338,6,FALSE)</f>
        <v>1</v>
      </c>
    </row>
    <row r="10" spans="1:12" hidden="1">
      <c r="A10" s="16">
        <v>11001</v>
      </c>
      <c r="B10" s="16" t="str">
        <f>VLOOKUP(A10,'Reg Sheet'!A$2:F$357,6,FALSE)</f>
        <v>HS</v>
      </c>
      <c r="C10" s="4" t="s">
        <v>22</v>
      </c>
      <c r="D10" s="4" t="s">
        <v>23</v>
      </c>
      <c r="E10" s="4" t="str">
        <f>VLOOKUP(A10,'Reg Sheet'!A$2:G$357,7,FALSE)</f>
        <v>10th</v>
      </c>
      <c r="F10" s="5" t="s">
        <v>13</v>
      </c>
      <c r="G10" s="5">
        <f t="shared" ca="1" si="0"/>
        <v>482</v>
      </c>
      <c r="H10" s="5">
        <f t="shared" ca="1" si="1"/>
        <v>13</v>
      </c>
      <c r="I10" s="5">
        <v>248</v>
      </c>
      <c r="J10" s="5">
        <v>9</v>
      </c>
      <c r="K10" s="5">
        <f ca="1">VLOOKUP(A10,'Kealing Site'!$A$2:$E$338,5,FALSE)</f>
        <v>234</v>
      </c>
      <c r="L10" s="5">
        <f ca="1">VLOOKUP(A10,'Kealing Site'!$A$2:$F$338,6,FALSE)</f>
        <v>4</v>
      </c>
    </row>
    <row r="11" spans="1:12" hidden="1">
      <c r="A11" s="16">
        <v>11002</v>
      </c>
      <c r="B11" s="16" t="str">
        <f>VLOOKUP(A11,'Reg Sheet'!A$2:F$357,6,FALSE)</f>
        <v>HS</v>
      </c>
      <c r="C11" s="4" t="s">
        <v>24</v>
      </c>
      <c r="D11" s="4" t="s">
        <v>23</v>
      </c>
      <c r="E11" s="4" t="str">
        <f>VLOOKUP(A11,'Reg Sheet'!A$2:G$357,7,FALSE)</f>
        <v>12th</v>
      </c>
      <c r="F11" s="5" t="s">
        <v>15</v>
      </c>
      <c r="G11" s="5" t="e">
        <f t="shared" ca="1" si="0"/>
        <v>#N/A</v>
      </c>
      <c r="H11" s="5" t="e">
        <f t="shared" ca="1" si="1"/>
        <v>#N/A</v>
      </c>
      <c r="I11" s="5">
        <v>269</v>
      </c>
      <c r="J11" s="5">
        <v>8</v>
      </c>
      <c r="K11" s="5" t="e">
        <f ca="1">VLOOKUP(A11,'Kealing Site'!$A$2:$E$338,5,FALSE)</f>
        <v>#N/A</v>
      </c>
      <c r="L11" s="5" t="e">
        <f ca="1">VLOOKUP(A11,'Kealing Site'!$A$2:$F$338,6,FALSE)</f>
        <v>#N/A</v>
      </c>
    </row>
    <row r="12" spans="1:12" hidden="1">
      <c r="A12" s="16">
        <v>11003</v>
      </c>
      <c r="B12" s="16" t="str">
        <f>VLOOKUP(A12,'Reg Sheet'!A$2:F$357,6,FALSE)</f>
        <v>HS</v>
      </c>
      <c r="C12" s="4" t="s">
        <v>25</v>
      </c>
      <c r="D12" s="4" t="s">
        <v>23</v>
      </c>
      <c r="E12" s="4" t="str">
        <f>VLOOKUP(A12,'Reg Sheet'!A$2:G$357,7,FALSE)</f>
        <v>11th</v>
      </c>
      <c r="F12" s="5" t="s">
        <v>15</v>
      </c>
      <c r="G12" s="5" t="e">
        <f t="shared" ca="1" si="0"/>
        <v>#N/A</v>
      </c>
      <c r="H12" s="5" t="e">
        <f t="shared" ca="1" si="1"/>
        <v>#N/A</v>
      </c>
      <c r="I12" s="5" t="e">
        <v>#N/A</v>
      </c>
      <c r="J12" s="5" t="e">
        <v>#N/A</v>
      </c>
      <c r="K12" s="5">
        <f ca="1">VLOOKUP(A12,'Kealing Site'!$A$2:$E$338,5,FALSE)</f>
        <v>279</v>
      </c>
      <c r="L12" s="5">
        <f ca="1">VLOOKUP(A12,'Kealing Site'!$A$2:$F$338,6,FALSE)</f>
        <v>15</v>
      </c>
    </row>
    <row r="13" spans="1:12" hidden="1">
      <c r="A13" s="16">
        <v>11004</v>
      </c>
      <c r="B13" s="16" t="str">
        <f>VLOOKUP(A13,'Reg Sheet'!A$2:F$357,6,FALSE)</f>
        <v>HS</v>
      </c>
      <c r="C13" s="4" t="s">
        <v>26</v>
      </c>
      <c r="D13" s="4" t="s">
        <v>23</v>
      </c>
      <c r="E13" s="4" t="str">
        <f>VLOOKUP(A13,'Reg Sheet'!A$2:G$357,7,FALSE)</f>
        <v>10th</v>
      </c>
      <c r="F13" s="5" t="s">
        <v>13</v>
      </c>
      <c r="G13" s="5" t="e">
        <f t="shared" ca="1" si="0"/>
        <v>#N/A</v>
      </c>
      <c r="H13" s="5" t="e">
        <f t="shared" ca="1" si="1"/>
        <v>#N/A</v>
      </c>
      <c r="I13" s="5">
        <v>278</v>
      </c>
      <c r="J13" s="5">
        <v>15</v>
      </c>
      <c r="K13" s="5" t="e">
        <f ca="1">VLOOKUP(A13,'Kealing Site'!$A$2:$E$338,5,FALSE)</f>
        <v>#N/A</v>
      </c>
      <c r="L13" s="5" t="e">
        <f ca="1">VLOOKUP(A13,'Kealing Site'!$A$2:$F$338,6,FALSE)</f>
        <v>#N/A</v>
      </c>
    </row>
    <row r="14" spans="1:12" hidden="1">
      <c r="A14" s="16">
        <v>11005</v>
      </c>
      <c r="B14" s="16" t="str">
        <f>VLOOKUP(A14,'Reg Sheet'!A$2:F$357,6,FALSE)</f>
        <v>HS</v>
      </c>
      <c r="C14" s="4" t="s">
        <v>27</v>
      </c>
      <c r="D14" s="4" t="s">
        <v>23</v>
      </c>
      <c r="E14" s="4" t="str">
        <f>VLOOKUP(A14,'Reg Sheet'!A$2:G$357,7,FALSE)</f>
        <v>11th</v>
      </c>
      <c r="F14" s="5" t="s">
        <v>13</v>
      </c>
      <c r="G14" s="5">
        <f t="shared" ca="1" si="0"/>
        <v>502</v>
      </c>
      <c r="H14" s="5">
        <f t="shared" ca="1" si="1"/>
        <v>11</v>
      </c>
      <c r="I14" s="5">
        <v>245</v>
      </c>
      <c r="J14" s="5">
        <v>5</v>
      </c>
      <c r="K14" s="5">
        <f ca="1">VLOOKUP(A14,'Kealing Site'!$A$2:$E$338,5,FALSE)</f>
        <v>257</v>
      </c>
      <c r="L14" s="5">
        <f ca="1">VLOOKUP(A14,'Kealing Site'!$A$2:$F$338,6,FALSE)</f>
        <v>6</v>
      </c>
    </row>
    <row r="15" spans="1:12" hidden="1">
      <c r="A15" s="16">
        <v>11006</v>
      </c>
      <c r="B15" s="16" t="str">
        <f>VLOOKUP(A15,'Reg Sheet'!A$2:F$357,6,FALSE)</f>
        <v>HS</v>
      </c>
      <c r="C15" s="4" t="s">
        <v>28</v>
      </c>
      <c r="D15" s="4" t="s">
        <v>23</v>
      </c>
      <c r="E15" s="4" t="str">
        <f>VLOOKUP(A15,'Reg Sheet'!A$2:G$357,7,FALSE)</f>
        <v>9th</v>
      </c>
      <c r="F15" s="5" t="s">
        <v>13</v>
      </c>
      <c r="G15" s="5">
        <f t="shared" ca="1" si="0"/>
        <v>538</v>
      </c>
      <c r="H15" s="5">
        <f t="shared" ca="1" si="1"/>
        <v>18</v>
      </c>
      <c r="I15" s="5">
        <v>273</v>
      </c>
      <c r="J15" s="5">
        <v>13</v>
      </c>
      <c r="K15" s="5">
        <f ca="1">VLOOKUP(A15,'Kealing Site'!$A$2:$E$338,5,FALSE)</f>
        <v>265</v>
      </c>
      <c r="L15" s="5">
        <f ca="1">VLOOKUP(A15,'Kealing Site'!$A$2:$F$338,6,FALSE)</f>
        <v>5</v>
      </c>
    </row>
    <row r="16" spans="1:12" hidden="1">
      <c r="A16" s="16">
        <v>11007</v>
      </c>
      <c r="B16" s="16" t="str">
        <f>VLOOKUP(A16,'Reg Sheet'!A$2:F$357,6,FALSE)</f>
        <v>HS</v>
      </c>
      <c r="C16" s="4" t="s">
        <v>29</v>
      </c>
      <c r="D16" s="4" t="s">
        <v>23</v>
      </c>
      <c r="E16" s="4" t="str">
        <f>VLOOKUP(A16,'Reg Sheet'!A$2:G$357,7,FALSE)</f>
        <v>12th</v>
      </c>
      <c r="F16" s="5" t="s">
        <v>13</v>
      </c>
      <c r="G16" s="5">
        <f t="shared" ca="1" si="0"/>
        <v>542</v>
      </c>
      <c r="H16" s="5">
        <f t="shared" ca="1" si="1"/>
        <v>18</v>
      </c>
      <c r="I16" s="5">
        <v>270</v>
      </c>
      <c r="J16" s="5">
        <v>10</v>
      </c>
      <c r="K16" s="5">
        <f ca="1">VLOOKUP(A16,'Kealing Site'!$A$2:$E$338,5,FALSE)</f>
        <v>272</v>
      </c>
      <c r="L16" s="5">
        <f ca="1">VLOOKUP(A16,'Kealing Site'!$A$2:$F$338,6,FALSE)</f>
        <v>8</v>
      </c>
    </row>
    <row r="17" spans="1:12" hidden="1">
      <c r="A17" s="16">
        <v>11008</v>
      </c>
      <c r="B17" s="16" t="str">
        <f>VLOOKUP(A17,'Reg Sheet'!A$2:F$357,6,FALSE)</f>
        <v>HS</v>
      </c>
      <c r="C17" s="4" t="s">
        <v>30</v>
      </c>
      <c r="D17" s="4" t="s">
        <v>23</v>
      </c>
      <c r="E17" s="4" t="str">
        <f>VLOOKUP(A17,'Reg Sheet'!A$2:G$357,7,FALSE)</f>
        <v>12th</v>
      </c>
      <c r="F17" s="5" t="s">
        <v>13</v>
      </c>
      <c r="G17" s="5">
        <f t="shared" ca="1" si="0"/>
        <v>488</v>
      </c>
      <c r="H17" s="5">
        <f t="shared" ca="1" si="1"/>
        <v>7</v>
      </c>
      <c r="I17" s="5">
        <v>241</v>
      </c>
      <c r="J17" s="5">
        <v>3</v>
      </c>
      <c r="K17" s="5">
        <f ca="1">VLOOKUP(A17,'Kealing Site'!$A$2:$E$338,5,FALSE)</f>
        <v>247</v>
      </c>
      <c r="L17" s="5">
        <f ca="1">VLOOKUP(A17,'Kealing Site'!$A$2:$F$338,6,FALSE)</f>
        <v>4</v>
      </c>
    </row>
    <row r="18" spans="1:12" hidden="1">
      <c r="A18" s="16">
        <v>11009</v>
      </c>
      <c r="B18" s="16" t="str">
        <f>VLOOKUP(A18,'Reg Sheet'!A$2:F$357,6,FALSE)</f>
        <v>HS</v>
      </c>
      <c r="C18" s="4" t="s">
        <v>31</v>
      </c>
      <c r="D18" s="4" t="s">
        <v>23</v>
      </c>
      <c r="E18" s="4" t="str">
        <f>VLOOKUP(A18,'Reg Sheet'!A$2:G$357,7,FALSE)</f>
        <v>10th</v>
      </c>
      <c r="F18" s="5" t="s">
        <v>15</v>
      </c>
      <c r="G18" s="5">
        <f t="shared" ca="1" si="0"/>
        <v>477</v>
      </c>
      <c r="H18" s="5">
        <f t="shared" ca="1" si="1"/>
        <v>7</v>
      </c>
      <c r="I18" s="5">
        <v>241</v>
      </c>
      <c r="J18" s="5">
        <v>2</v>
      </c>
      <c r="K18" s="5">
        <f ca="1">VLOOKUP(A18,'Kealing Site'!$A$2:$E$338,5,FALSE)</f>
        <v>236</v>
      </c>
      <c r="L18" s="5">
        <f ca="1">VLOOKUP(A18,'Kealing Site'!$A$2:$F$338,6,FALSE)</f>
        <v>5</v>
      </c>
    </row>
    <row r="19" spans="1:12" hidden="1">
      <c r="A19" s="16">
        <v>11010</v>
      </c>
      <c r="B19" s="16" t="str">
        <f>VLOOKUP(A19,'Reg Sheet'!A$2:F$357,6,FALSE)</f>
        <v>HS</v>
      </c>
      <c r="C19" s="4" t="s">
        <v>32</v>
      </c>
      <c r="D19" s="4" t="s">
        <v>23</v>
      </c>
      <c r="E19" s="4" t="str">
        <f>VLOOKUP(A19,'Reg Sheet'!A$2:G$357,7,FALSE)</f>
        <v>12th</v>
      </c>
      <c r="F19" s="5" t="s">
        <v>13</v>
      </c>
      <c r="G19" s="5">
        <f t="shared" ca="1" si="0"/>
        <v>501</v>
      </c>
      <c r="H19" s="5">
        <f t="shared" ca="1" si="1"/>
        <v>15</v>
      </c>
      <c r="I19" s="5">
        <v>240</v>
      </c>
      <c r="J19" s="5">
        <v>10</v>
      </c>
      <c r="K19" s="5">
        <f ca="1">VLOOKUP(A19,'Kealing Site'!$A$2:$E$338,5,FALSE)</f>
        <v>261</v>
      </c>
      <c r="L19" s="5">
        <f ca="1">VLOOKUP(A19,'Kealing Site'!$A$2:$F$338,6,FALSE)</f>
        <v>5</v>
      </c>
    </row>
    <row r="20" spans="1:12" hidden="1">
      <c r="A20" s="16">
        <v>11011</v>
      </c>
      <c r="B20" s="16" t="str">
        <f>VLOOKUP(A20,'Reg Sheet'!A$2:F$357,6,FALSE)</f>
        <v>HS</v>
      </c>
      <c r="C20" s="4" t="s">
        <v>33</v>
      </c>
      <c r="D20" s="4" t="s">
        <v>23</v>
      </c>
      <c r="E20" s="4" t="str">
        <f>VLOOKUP(A20,'Reg Sheet'!A$2:G$357,7,FALSE)</f>
        <v>11th</v>
      </c>
      <c r="F20" s="5" t="s">
        <v>13</v>
      </c>
      <c r="G20" s="5">
        <f t="shared" ca="1" si="0"/>
        <v>541</v>
      </c>
      <c r="H20" s="5">
        <f t="shared" ca="1" si="1"/>
        <v>22</v>
      </c>
      <c r="I20" s="5">
        <v>270</v>
      </c>
      <c r="J20" s="5">
        <v>10</v>
      </c>
      <c r="K20" s="5">
        <f ca="1">VLOOKUP(A20,'Kealing Site'!$A$2:$E$338,5,FALSE)</f>
        <v>271</v>
      </c>
      <c r="L20" s="5">
        <f ca="1">VLOOKUP(A20,'Kealing Site'!$A$2:$F$338,6,FALSE)</f>
        <v>12</v>
      </c>
    </row>
    <row r="21" spans="1:12" hidden="1">
      <c r="A21" s="16">
        <v>11012</v>
      </c>
      <c r="B21" s="16" t="str">
        <f>VLOOKUP(A21,'Reg Sheet'!A$2:F$357,6,FALSE)</f>
        <v>HS</v>
      </c>
      <c r="C21" s="4" t="s">
        <v>34</v>
      </c>
      <c r="D21" s="4" t="s">
        <v>23</v>
      </c>
      <c r="E21" s="4" t="str">
        <f>VLOOKUP(A21,'Reg Sheet'!A$2:G$357,7,FALSE)</f>
        <v>9th</v>
      </c>
      <c r="F21" s="5" t="s">
        <v>13</v>
      </c>
      <c r="G21" s="5">
        <f t="shared" ca="1" si="0"/>
        <v>458</v>
      </c>
      <c r="H21" s="5">
        <f t="shared" ca="1" si="1"/>
        <v>8</v>
      </c>
      <c r="I21" s="5">
        <v>215</v>
      </c>
      <c r="J21" s="5">
        <v>3</v>
      </c>
      <c r="K21" s="5">
        <f ca="1">VLOOKUP(A21,'Kealing Site'!$A$2:$E$338,5,FALSE)</f>
        <v>243</v>
      </c>
      <c r="L21" s="5">
        <f ca="1">VLOOKUP(A21,'Kealing Site'!$A$2:$F$338,6,FALSE)</f>
        <v>5</v>
      </c>
    </row>
    <row r="22" spans="1:12" hidden="1">
      <c r="A22" s="16">
        <v>11013</v>
      </c>
      <c r="B22" s="16" t="str">
        <f>VLOOKUP(A22,'Reg Sheet'!A$2:F$357,6,FALSE)</f>
        <v>HS</v>
      </c>
      <c r="C22" s="4" t="s">
        <v>35</v>
      </c>
      <c r="D22" s="4" t="s">
        <v>23</v>
      </c>
      <c r="E22" s="4" t="str">
        <f>VLOOKUP(A22,'Reg Sheet'!A$2:G$357,7,FALSE)</f>
        <v>12th</v>
      </c>
      <c r="F22" s="5" t="s">
        <v>15</v>
      </c>
      <c r="G22" s="5">
        <f t="shared" ca="1" si="0"/>
        <v>518</v>
      </c>
      <c r="H22" s="5">
        <f t="shared" ca="1" si="1"/>
        <v>12</v>
      </c>
      <c r="I22" s="5">
        <v>249</v>
      </c>
      <c r="J22" s="5">
        <v>4</v>
      </c>
      <c r="K22" s="5">
        <f ca="1">VLOOKUP(A22,'Kealing Site'!$A$2:$E$338,5,FALSE)</f>
        <v>269</v>
      </c>
      <c r="L22" s="5">
        <f ca="1">VLOOKUP(A22,'Kealing Site'!$A$2:$F$338,6,FALSE)</f>
        <v>8</v>
      </c>
    </row>
    <row r="23" spans="1:12" hidden="1">
      <c r="A23" s="16">
        <v>11014</v>
      </c>
      <c r="B23" s="16" t="str">
        <f>VLOOKUP(A23,'Reg Sheet'!A$2:F$357,6,FALSE)</f>
        <v>HS</v>
      </c>
      <c r="C23" s="4" t="s">
        <v>36</v>
      </c>
      <c r="D23" s="4" t="s">
        <v>23</v>
      </c>
      <c r="E23" s="4" t="str">
        <f>VLOOKUP(A23,'Reg Sheet'!A$2:G$357,7,FALSE)</f>
        <v>9th</v>
      </c>
      <c r="F23" s="5" t="s">
        <v>13</v>
      </c>
      <c r="G23" s="5">
        <f t="shared" ca="1" si="0"/>
        <v>515</v>
      </c>
      <c r="H23" s="5">
        <f t="shared" ca="1" si="1"/>
        <v>18</v>
      </c>
      <c r="I23" s="5">
        <v>259</v>
      </c>
      <c r="J23" s="5">
        <v>9</v>
      </c>
      <c r="K23" s="5">
        <f ca="1">VLOOKUP(A23,'Kealing Site'!$A$2:$E$338,5,FALSE)</f>
        <v>256</v>
      </c>
      <c r="L23" s="5">
        <f ca="1">VLOOKUP(A23,'Kealing Site'!$A$2:$F$338,6,FALSE)</f>
        <v>9</v>
      </c>
    </row>
    <row r="24" spans="1:12" hidden="1">
      <c r="A24" s="16">
        <v>11015</v>
      </c>
      <c r="B24" s="16" t="str">
        <f>VLOOKUP(A24,'Reg Sheet'!A$2:F$357,6,FALSE)</f>
        <v>HS</v>
      </c>
      <c r="C24" s="4" t="s">
        <v>37</v>
      </c>
      <c r="D24" s="4" t="s">
        <v>23</v>
      </c>
      <c r="E24" s="4" t="str">
        <f>VLOOKUP(A24,'Reg Sheet'!A$2:G$357,7,FALSE)</f>
        <v>10th</v>
      </c>
      <c r="F24" s="5" t="s">
        <v>13</v>
      </c>
      <c r="G24" s="5">
        <f t="shared" ca="1" si="0"/>
        <v>549</v>
      </c>
      <c r="H24" s="5">
        <f t="shared" ca="1" si="1"/>
        <v>29</v>
      </c>
      <c r="I24" s="5">
        <v>264</v>
      </c>
      <c r="J24" s="5">
        <v>11</v>
      </c>
      <c r="K24" s="5">
        <f ca="1">VLOOKUP(A24,'Kealing Site'!$A$2:$E$338,5,FALSE)</f>
        <v>285</v>
      </c>
      <c r="L24" s="5">
        <f ca="1">VLOOKUP(A24,'Kealing Site'!$A$2:$F$338,6,FALSE)</f>
        <v>18</v>
      </c>
    </row>
    <row r="25" spans="1:12" hidden="1">
      <c r="A25" s="16">
        <v>11016</v>
      </c>
      <c r="B25" s="16" t="str">
        <f>VLOOKUP(A25,'Reg Sheet'!A$2:F$357,6,FALSE)</f>
        <v>HS</v>
      </c>
      <c r="C25" s="4" t="s">
        <v>38</v>
      </c>
      <c r="D25" s="4" t="s">
        <v>23</v>
      </c>
      <c r="E25" s="4" t="str">
        <f>VLOOKUP(A25,'Reg Sheet'!A$2:G$357,7,FALSE)</f>
        <v>9th</v>
      </c>
      <c r="F25" s="5" t="s">
        <v>15</v>
      </c>
      <c r="G25" s="5">
        <f t="shared" ca="1" si="0"/>
        <v>516</v>
      </c>
      <c r="H25" s="5">
        <f t="shared" ca="1" si="1"/>
        <v>17</v>
      </c>
      <c r="I25" s="5">
        <v>259</v>
      </c>
      <c r="J25" s="5">
        <v>10</v>
      </c>
      <c r="K25" s="5">
        <f ca="1">VLOOKUP(A25,'Kealing Site'!$A$2:$E$338,5,FALSE)</f>
        <v>257</v>
      </c>
      <c r="L25" s="5">
        <f ca="1">VLOOKUP(A25,'Kealing Site'!$A$2:$F$338,6,FALSE)</f>
        <v>7</v>
      </c>
    </row>
    <row r="26" spans="1:12" hidden="1">
      <c r="A26" s="16">
        <v>11017</v>
      </c>
      <c r="B26" s="16" t="str">
        <f>VLOOKUP(A26,'Reg Sheet'!A$2:F$357,6,FALSE)</f>
        <v>HS</v>
      </c>
      <c r="C26" s="4" t="s">
        <v>39</v>
      </c>
      <c r="D26" s="4" t="s">
        <v>23</v>
      </c>
      <c r="E26" s="4" t="str">
        <f>VLOOKUP(A26,'Reg Sheet'!A$2:G$357,7,FALSE)</f>
        <v>10th</v>
      </c>
      <c r="F26" s="5" t="s">
        <v>15</v>
      </c>
      <c r="G26" s="5">
        <f t="shared" ca="1" si="0"/>
        <v>502</v>
      </c>
      <c r="H26" s="5">
        <f t="shared" ca="1" si="1"/>
        <v>13</v>
      </c>
      <c r="I26" s="5">
        <v>248</v>
      </c>
      <c r="J26" s="5">
        <v>7</v>
      </c>
      <c r="K26" s="5">
        <f ca="1">VLOOKUP(A26,'Kealing Site'!$A$2:$E$338,5,FALSE)</f>
        <v>254</v>
      </c>
      <c r="L26" s="5">
        <f ca="1">VLOOKUP(A26,'Kealing Site'!$A$2:$F$338,6,FALSE)</f>
        <v>6</v>
      </c>
    </row>
    <row r="27" spans="1:12" hidden="1">
      <c r="A27" s="16">
        <v>11018</v>
      </c>
      <c r="B27" s="16" t="str">
        <f>VLOOKUP(A27,'Reg Sheet'!A$2:F$357,6,FALSE)</f>
        <v>HS</v>
      </c>
      <c r="C27" s="4" t="s">
        <v>40</v>
      </c>
      <c r="D27" s="4" t="s">
        <v>23</v>
      </c>
      <c r="E27" s="4" t="str">
        <f>VLOOKUP(A27,'Reg Sheet'!A$2:G$357,7,FALSE)</f>
        <v>11th</v>
      </c>
      <c r="F27" s="5" t="s">
        <v>15</v>
      </c>
      <c r="G27" s="5">
        <f t="shared" ca="1" si="0"/>
        <v>499</v>
      </c>
      <c r="H27" s="5">
        <f t="shared" ca="1" si="1"/>
        <v>14</v>
      </c>
      <c r="I27" s="5">
        <v>251</v>
      </c>
      <c r="J27" s="5">
        <v>6</v>
      </c>
      <c r="K27" s="5">
        <f ca="1">VLOOKUP(A27,'Kealing Site'!$A$2:$E$338,5,FALSE)</f>
        <v>248</v>
      </c>
      <c r="L27" s="5">
        <f ca="1">VLOOKUP(A27,'Kealing Site'!$A$2:$F$338,6,FALSE)</f>
        <v>8</v>
      </c>
    </row>
    <row r="28" spans="1:12" hidden="1">
      <c r="A28" s="16">
        <v>11019</v>
      </c>
      <c r="B28" s="16" t="str">
        <f>VLOOKUP(A28,'Reg Sheet'!A$2:F$357,6,FALSE)</f>
        <v>HS</v>
      </c>
      <c r="C28" s="4" t="s">
        <v>41</v>
      </c>
      <c r="D28" s="4" t="s">
        <v>23</v>
      </c>
      <c r="E28" s="4" t="str">
        <f>VLOOKUP(A28,'Reg Sheet'!A$2:G$357,7,FALSE)</f>
        <v>10th</v>
      </c>
      <c r="F28" s="5" t="s">
        <v>13</v>
      </c>
      <c r="G28" s="5">
        <f t="shared" ca="1" si="0"/>
        <v>539</v>
      </c>
      <c r="H28" s="5">
        <f t="shared" ca="1" si="1"/>
        <v>17</v>
      </c>
      <c r="I28" s="5">
        <v>261</v>
      </c>
      <c r="J28" s="5">
        <v>5</v>
      </c>
      <c r="K28" s="5">
        <f ca="1">VLOOKUP(A28,'Kealing Site'!$A$2:$E$338,5,FALSE)</f>
        <v>278</v>
      </c>
      <c r="L28" s="5">
        <f ca="1">VLOOKUP(A28,'Kealing Site'!$A$2:$F$338,6,FALSE)</f>
        <v>12</v>
      </c>
    </row>
    <row r="29" spans="1:12" hidden="1">
      <c r="A29" s="16">
        <v>11020</v>
      </c>
      <c r="B29" s="16" t="str">
        <f>VLOOKUP(A29,'Reg Sheet'!A$2:F$357,6,FALSE)</f>
        <v>HS</v>
      </c>
      <c r="C29" s="4" t="s">
        <v>42</v>
      </c>
      <c r="D29" s="4" t="s">
        <v>23</v>
      </c>
      <c r="E29" s="4" t="str">
        <f>VLOOKUP(A29,'Reg Sheet'!A$2:G$357,7,FALSE)</f>
        <v>10th</v>
      </c>
      <c r="F29" s="5" t="s">
        <v>13</v>
      </c>
      <c r="G29" s="5">
        <f t="shared" ca="1" si="0"/>
        <v>521</v>
      </c>
      <c r="H29" s="5">
        <f t="shared" ca="1" si="1"/>
        <v>11</v>
      </c>
      <c r="I29" s="5">
        <v>259</v>
      </c>
      <c r="J29" s="5">
        <v>4</v>
      </c>
      <c r="K29" s="5">
        <f ca="1">VLOOKUP(A29,'Kealing Site'!$A$2:$E$338,5,FALSE)</f>
        <v>262</v>
      </c>
      <c r="L29" s="5">
        <f ca="1">VLOOKUP(A29,'Kealing Site'!$A$2:$F$338,6,FALSE)</f>
        <v>7</v>
      </c>
    </row>
    <row r="30" spans="1:12" hidden="1">
      <c r="A30" s="16">
        <v>11021</v>
      </c>
      <c r="B30" s="16" t="str">
        <f>VLOOKUP(A30,'Reg Sheet'!A$2:F$357,6,FALSE)</f>
        <v>HS</v>
      </c>
      <c r="C30" s="4" t="s">
        <v>43</v>
      </c>
      <c r="D30" s="4" t="s">
        <v>23</v>
      </c>
      <c r="E30" s="4" t="str">
        <f>VLOOKUP(A30,'Reg Sheet'!A$2:G$357,7,FALSE)</f>
        <v>9th</v>
      </c>
      <c r="F30" s="5" t="s">
        <v>13</v>
      </c>
      <c r="G30" s="5">
        <f t="shared" ca="1" si="0"/>
        <v>513</v>
      </c>
      <c r="H30" s="5">
        <f t="shared" ca="1" si="1"/>
        <v>14</v>
      </c>
      <c r="I30" s="5">
        <v>255</v>
      </c>
      <c r="J30" s="5">
        <v>7</v>
      </c>
      <c r="K30" s="5">
        <f ca="1">VLOOKUP(A30,'Kealing Site'!$A$2:$E$338,5,FALSE)</f>
        <v>258</v>
      </c>
      <c r="L30" s="5">
        <f ca="1">VLOOKUP(A30,'Kealing Site'!$A$2:$F$338,6,FALSE)</f>
        <v>7</v>
      </c>
    </row>
    <row r="31" spans="1:12" hidden="1">
      <c r="A31" s="16">
        <v>11022</v>
      </c>
      <c r="B31" s="16" t="str">
        <f>VLOOKUP(A31,'Reg Sheet'!A$2:F$357,6,FALSE)</f>
        <v>HS</v>
      </c>
      <c r="C31" s="4" t="s">
        <v>44</v>
      </c>
      <c r="D31" s="4" t="s">
        <v>23</v>
      </c>
      <c r="E31" s="4" t="str">
        <f>VLOOKUP(A31,'Reg Sheet'!A$2:G$357,7,FALSE)</f>
        <v>11th</v>
      </c>
      <c r="F31" s="5" t="s">
        <v>15</v>
      </c>
      <c r="G31" s="5">
        <f t="shared" ca="1" si="0"/>
        <v>505</v>
      </c>
      <c r="H31" s="5">
        <f t="shared" ca="1" si="1"/>
        <v>11</v>
      </c>
      <c r="I31" s="5">
        <v>247</v>
      </c>
      <c r="J31" s="5">
        <v>3</v>
      </c>
      <c r="K31" s="5">
        <f ca="1">VLOOKUP(A31,'Kealing Site'!$A$2:$E$338,5,FALSE)</f>
        <v>258</v>
      </c>
      <c r="L31" s="5">
        <f ca="1">VLOOKUP(A31,'Kealing Site'!$A$2:$F$338,6,FALSE)</f>
        <v>8</v>
      </c>
    </row>
    <row r="32" spans="1:12" hidden="1">
      <c r="A32" s="16">
        <v>11023</v>
      </c>
      <c r="B32" s="16" t="str">
        <f>VLOOKUP(A32,'Reg Sheet'!A$2:F$357,6,FALSE)</f>
        <v>HS</v>
      </c>
      <c r="C32" s="4" t="s">
        <v>45</v>
      </c>
      <c r="D32" s="4" t="s">
        <v>23</v>
      </c>
      <c r="E32" s="4" t="str">
        <f>VLOOKUP(A32,'Reg Sheet'!A$2:G$357,7,FALSE)</f>
        <v>9th</v>
      </c>
      <c r="F32" s="5" t="s">
        <v>15</v>
      </c>
      <c r="G32" s="5" t="e">
        <f t="shared" ca="1" si="0"/>
        <v>#N/A</v>
      </c>
      <c r="H32" s="5" t="e">
        <f t="shared" ca="1" si="1"/>
        <v>#N/A</v>
      </c>
      <c r="I32" s="5" t="e">
        <v>#N/A</v>
      </c>
      <c r="J32" s="5" t="e">
        <v>#N/A</v>
      </c>
      <c r="K32" s="5">
        <f ca="1">VLOOKUP(A32,'Kealing Site'!$A$2:$E$338,5,FALSE)</f>
        <v>215</v>
      </c>
      <c r="L32" s="5">
        <f ca="1">VLOOKUP(A32,'Kealing Site'!$A$2:$F$338,6,FALSE)</f>
        <v>2</v>
      </c>
    </row>
    <row r="33" spans="1:12" hidden="1">
      <c r="A33" s="16">
        <v>11024</v>
      </c>
      <c r="B33" s="16" t="str">
        <f>VLOOKUP(A33,'Reg Sheet'!A$2:F$357,6,FALSE)</f>
        <v>HS</v>
      </c>
      <c r="C33" s="4" t="s">
        <v>46</v>
      </c>
      <c r="D33" s="4" t="s">
        <v>23</v>
      </c>
      <c r="E33" s="4" t="str">
        <f>VLOOKUP(A33,'Reg Sheet'!A$2:G$357,7,FALSE)</f>
        <v>10th</v>
      </c>
      <c r="F33" s="5" t="s">
        <v>15</v>
      </c>
      <c r="G33" s="5">
        <f t="shared" ca="1" si="0"/>
        <v>525</v>
      </c>
      <c r="H33" s="5">
        <f t="shared" ca="1" si="1"/>
        <v>12</v>
      </c>
      <c r="I33" s="5">
        <v>263</v>
      </c>
      <c r="J33" s="5">
        <v>4</v>
      </c>
      <c r="K33" s="5">
        <f ca="1">VLOOKUP(A33,'Kealing Site'!$A$2:$E$338,5,FALSE)</f>
        <v>262</v>
      </c>
      <c r="L33" s="5">
        <f ca="1">VLOOKUP(A33,'Kealing Site'!$A$2:$F$338,6,FALSE)</f>
        <v>8</v>
      </c>
    </row>
    <row r="34" spans="1:12" hidden="1">
      <c r="A34" s="16">
        <v>11025</v>
      </c>
      <c r="B34" s="16" t="str">
        <f>VLOOKUP(A34,'Reg Sheet'!A$2:F$357,6,FALSE)</f>
        <v>HS</v>
      </c>
      <c r="C34" s="4" t="s">
        <v>47</v>
      </c>
      <c r="D34" s="4" t="s">
        <v>23</v>
      </c>
      <c r="E34" s="4" t="str">
        <f>VLOOKUP(A34,'Reg Sheet'!A$2:G$357,7,FALSE)</f>
        <v>11th</v>
      </c>
      <c r="F34" s="5" t="s">
        <v>15</v>
      </c>
      <c r="G34" s="5">
        <f t="shared" ca="1" si="0"/>
        <v>508</v>
      </c>
      <c r="H34" s="5">
        <f t="shared" ca="1" si="1"/>
        <v>9</v>
      </c>
      <c r="I34" s="5">
        <v>258</v>
      </c>
      <c r="J34" s="5">
        <v>4</v>
      </c>
      <c r="K34" s="5">
        <f ca="1">VLOOKUP(A34,'Kealing Site'!$A$2:$E$338,5,FALSE)</f>
        <v>250</v>
      </c>
      <c r="L34" s="5">
        <f ca="1">VLOOKUP(A34,'Kealing Site'!$A$2:$F$338,6,FALSE)</f>
        <v>5</v>
      </c>
    </row>
    <row r="35" spans="1:12" hidden="1">
      <c r="A35" s="16">
        <v>11026</v>
      </c>
      <c r="B35" s="16" t="str">
        <f>VLOOKUP(A35,'Reg Sheet'!A$2:F$357,6,FALSE)</f>
        <v>HS</v>
      </c>
      <c r="C35" s="4" t="s">
        <v>48</v>
      </c>
      <c r="D35" s="4" t="s">
        <v>23</v>
      </c>
      <c r="E35" s="4" t="str">
        <f>VLOOKUP(A35,'Reg Sheet'!A$2:G$357,7,FALSE)</f>
        <v>11th</v>
      </c>
      <c r="F35" s="5" t="s">
        <v>13</v>
      </c>
      <c r="G35" s="5">
        <f t="shared" ca="1" si="0"/>
        <v>481</v>
      </c>
      <c r="H35" s="5">
        <f t="shared" ca="1" si="1"/>
        <v>7</v>
      </c>
      <c r="I35" s="5">
        <v>238</v>
      </c>
      <c r="J35" s="5">
        <v>2</v>
      </c>
      <c r="K35" s="5">
        <f ca="1">VLOOKUP(A35,'Kealing Site'!$A$2:$E$338,5,FALSE)</f>
        <v>243</v>
      </c>
      <c r="L35" s="5">
        <f ca="1">VLOOKUP(A35,'Kealing Site'!$A$2:$F$338,6,FALSE)</f>
        <v>5</v>
      </c>
    </row>
    <row r="36" spans="1:12" hidden="1">
      <c r="A36" s="16">
        <v>11027</v>
      </c>
      <c r="B36" s="16" t="str">
        <f>VLOOKUP(A36,'Reg Sheet'!A$2:F$357,6,FALSE)</f>
        <v>HS</v>
      </c>
      <c r="C36" s="4" t="s">
        <v>49</v>
      </c>
      <c r="D36" s="4" t="s">
        <v>23</v>
      </c>
      <c r="E36" s="4" t="str">
        <f>VLOOKUP(A36,'Reg Sheet'!A$2:G$357,7,FALSE)</f>
        <v>10th</v>
      </c>
      <c r="F36" s="5" t="s">
        <v>15</v>
      </c>
      <c r="G36" s="5">
        <f t="shared" ca="1" si="0"/>
        <v>364</v>
      </c>
      <c r="H36" s="5">
        <f t="shared" ca="1" si="1"/>
        <v>2</v>
      </c>
      <c r="I36" s="5">
        <v>183</v>
      </c>
      <c r="J36" s="5">
        <v>1</v>
      </c>
      <c r="K36" s="5">
        <f ca="1">VLOOKUP(A36,'Kealing Site'!$A$2:$E$338,5,FALSE)</f>
        <v>181</v>
      </c>
      <c r="L36" s="5">
        <f ca="1">VLOOKUP(A36,'Kealing Site'!$A$2:$F$338,6,FALSE)</f>
        <v>1</v>
      </c>
    </row>
    <row r="37" spans="1:12" hidden="1">
      <c r="A37" s="16">
        <v>11028</v>
      </c>
      <c r="B37" s="16" t="str">
        <f>VLOOKUP(A37,'Reg Sheet'!A$2:F$357,6,FALSE)</f>
        <v>HS</v>
      </c>
      <c r="C37" s="4" t="s">
        <v>50</v>
      </c>
      <c r="D37" s="4" t="s">
        <v>23</v>
      </c>
      <c r="E37" s="4" t="str">
        <f>VLOOKUP(A37,'Reg Sheet'!A$2:G$357,7,FALSE)</f>
        <v>9th</v>
      </c>
      <c r="F37" s="5" t="s">
        <v>13</v>
      </c>
      <c r="G37" s="5">
        <f t="shared" ca="1" si="0"/>
        <v>508</v>
      </c>
      <c r="H37" s="5">
        <f t="shared" ca="1" si="1"/>
        <v>6</v>
      </c>
      <c r="I37" s="5">
        <v>255</v>
      </c>
      <c r="J37" s="5">
        <v>3</v>
      </c>
      <c r="K37" s="5">
        <f ca="1">VLOOKUP(A37,'Kealing Site'!$A$2:$E$338,5,FALSE)</f>
        <v>253</v>
      </c>
      <c r="L37" s="5">
        <f ca="1">VLOOKUP(A37,'Kealing Site'!$A$2:$F$338,6,FALSE)</f>
        <v>3</v>
      </c>
    </row>
    <row r="38" spans="1:12" hidden="1">
      <c r="A38" s="16">
        <v>11029</v>
      </c>
      <c r="B38" s="16" t="str">
        <f>VLOOKUP(A38,'Reg Sheet'!A$2:F$357,6,FALSE)</f>
        <v>HS</v>
      </c>
      <c r="C38" s="4" t="s">
        <v>51</v>
      </c>
      <c r="D38" s="4" t="s">
        <v>23</v>
      </c>
      <c r="E38" s="4" t="str">
        <f>VLOOKUP(A38,'Reg Sheet'!A$2:G$357,7,FALSE)</f>
        <v>11th</v>
      </c>
      <c r="F38" s="5" t="s">
        <v>13</v>
      </c>
      <c r="G38" s="5">
        <f t="shared" ca="1" si="0"/>
        <v>351</v>
      </c>
      <c r="H38" s="5">
        <f t="shared" ca="1" si="1"/>
        <v>0</v>
      </c>
      <c r="I38" s="5">
        <v>159</v>
      </c>
      <c r="J38" s="5">
        <v>0</v>
      </c>
      <c r="K38" s="5">
        <f ca="1">VLOOKUP(A38,'Kealing Site'!$A$2:$E$338,5,FALSE)</f>
        <v>192</v>
      </c>
      <c r="L38" s="5">
        <f ca="1">VLOOKUP(A38,'Kealing Site'!$A$2:$F$338,6,FALSE)</f>
        <v>0</v>
      </c>
    </row>
    <row r="39" spans="1:12" hidden="1">
      <c r="A39" s="16">
        <v>11030</v>
      </c>
      <c r="B39" s="16" t="str">
        <f>VLOOKUP(A39,'Reg Sheet'!A$2:F$357,6,FALSE)</f>
        <v>HS</v>
      </c>
      <c r="C39" s="4" t="s">
        <v>52</v>
      </c>
      <c r="D39" s="4" t="s">
        <v>23</v>
      </c>
      <c r="E39" s="4" t="str">
        <f>VLOOKUP(A39,'Reg Sheet'!A$2:G$357,7,FALSE)</f>
        <v>11th</v>
      </c>
      <c r="F39" s="5" t="s">
        <v>13</v>
      </c>
      <c r="G39" s="5">
        <f t="shared" ca="1" si="0"/>
        <v>443</v>
      </c>
      <c r="H39" s="5">
        <f t="shared" ca="1" si="1"/>
        <v>7</v>
      </c>
      <c r="I39" s="5">
        <v>226</v>
      </c>
      <c r="J39" s="5">
        <v>3</v>
      </c>
      <c r="K39" s="5">
        <f ca="1">VLOOKUP(A39,'Kealing Site'!$A$2:$E$338,5,FALSE)</f>
        <v>217</v>
      </c>
      <c r="L39" s="5">
        <f ca="1">VLOOKUP(A39,'Kealing Site'!$A$2:$F$338,6,FALSE)</f>
        <v>4</v>
      </c>
    </row>
    <row r="40" spans="1:12" hidden="1">
      <c r="A40" s="16">
        <v>11031</v>
      </c>
      <c r="B40" s="16" t="str">
        <f>VLOOKUP(A40,'Reg Sheet'!A$2:F$357,6,FALSE)</f>
        <v>HS</v>
      </c>
      <c r="C40" s="4" t="s">
        <v>53</v>
      </c>
      <c r="D40" s="4" t="s">
        <v>23</v>
      </c>
      <c r="E40" s="4" t="str">
        <f>VLOOKUP(A40,'Reg Sheet'!A$2:G$357,7,FALSE)</f>
        <v>10th</v>
      </c>
      <c r="F40" s="5" t="s">
        <v>13</v>
      </c>
      <c r="G40" s="5">
        <f t="shared" ca="1" si="0"/>
        <v>539</v>
      </c>
      <c r="H40" s="5">
        <f t="shared" ca="1" si="1"/>
        <v>21</v>
      </c>
      <c r="I40" s="5">
        <v>264</v>
      </c>
      <c r="J40" s="5">
        <v>11</v>
      </c>
      <c r="K40" s="5">
        <f ca="1">VLOOKUP(A40,'Kealing Site'!$A$2:$E$338,5,FALSE)</f>
        <v>275</v>
      </c>
      <c r="L40" s="5">
        <f ca="1">VLOOKUP(A40,'Kealing Site'!$A$2:$F$338,6,FALSE)</f>
        <v>10</v>
      </c>
    </row>
    <row r="41" spans="1:12" hidden="1">
      <c r="A41" s="16">
        <v>11032</v>
      </c>
      <c r="B41" s="16" t="str">
        <f>VLOOKUP(A41,'Reg Sheet'!A$2:F$357,6,FALSE)</f>
        <v>HS</v>
      </c>
      <c r="C41" s="4" t="s">
        <v>54</v>
      </c>
      <c r="D41" s="4" t="s">
        <v>23</v>
      </c>
      <c r="E41" s="4" t="str">
        <f>VLOOKUP(A41,'Reg Sheet'!A$2:G$357,7,FALSE)</f>
        <v>12th</v>
      </c>
      <c r="F41" s="5" t="s">
        <v>15</v>
      </c>
      <c r="G41" s="5">
        <f t="shared" ca="1" si="0"/>
        <v>518</v>
      </c>
      <c r="H41" s="5">
        <f t="shared" ca="1" si="1"/>
        <v>12</v>
      </c>
      <c r="I41" s="5">
        <v>265</v>
      </c>
      <c r="J41" s="5">
        <v>7</v>
      </c>
      <c r="K41" s="5">
        <f ca="1">VLOOKUP(A41,'Kealing Site'!$A$2:$E$338,5,FALSE)</f>
        <v>253</v>
      </c>
      <c r="L41" s="5">
        <f ca="1">VLOOKUP(A41,'Kealing Site'!$A$2:$F$338,6,FALSE)</f>
        <v>5</v>
      </c>
    </row>
    <row r="42" spans="1:12" hidden="1">
      <c r="A42" s="16">
        <v>11033</v>
      </c>
      <c r="B42" s="16" t="str">
        <f>VLOOKUP(A42,'Reg Sheet'!A$2:F$357,6,FALSE)</f>
        <v>HS</v>
      </c>
      <c r="C42" s="4" t="s">
        <v>55</v>
      </c>
      <c r="D42" s="4" t="s">
        <v>23</v>
      </c>
      <c r="E42" s="4" t="str">
        <f>VLOOKUP(A42,'Reg Sheet'!A$2:G$357,7,FALSE)</f>
        <v>10th</v>
      </c>
      <c r="F42" s="5" t="s">
        <v>15</v>
      </c>
      <c r="G42" s="5">
        <f t="shared" ca="1" si="0"/>
        <v>477</v>
      </c>
      <c r="H42" s="5">
        <f t="shared" ca="1" si="1"/>
        <v>5</v>
      </c>
      <c r="I42" s="5">
        <v>239</v>
      </c>
      <c r="J42" s="5">
        <v>3</v>
      </c>
      <c r="K42" s="5">
        <f ca="1">VLOOKUP(A42,'Kealing Site'!$A$2:$E$338,5,FALSE)</f>
        <v>238</v>
      </c>
      <c r="L42" s="5">
        <f ca="1">VLOOKUP(A42,'Kealing Site'!$A$2:$F$338,6,FALSE)</f>
        <v>2</v>
      </c>
    </row>
    <row r="43" spans="1:12" hidden="1">
      <c r="A43" s="16">
        <v>11034</v>
      </c>
      <c r="B43" s="16" t="str">
        <f>VLOOKUP(A43,'Reg Sheet'!A$2:F$357,6,FALSE)</f>
        <v>HS</v>
      </c>
      <c r="C43" s="4" t="s">
        <v>56</v>
      </c>
      <c r="D43" s="4" t="s">
        <v>23</v>
      </c>
      <c r="E43" s="4" t="str">
        <f>VLOOKUP(A43,'Reg Sheet'!A$2:G$357,7,FALSE)</f>
        <v>9th</v>
      </c>
      <c r="F43" s="5" t="s">
        <v>13</v>
      </c>
      <c r="G43" s="5">
        <f t="shared" ca="1" si="0"/>
        <v>505</v>
      </c>
      <c r="H43" s="5">
        <f t="shared" ca="1" si="1"/>
        <v>18</v>
      </c>
      <c r="I43" s="5">
        <v>265</v>
      </c>
      <c r="J43" s="5">
        <v>12</v>
      </c>
      <c r="K43" s="5">
        <f ca="1">VLOOKUP(A43,'Kealing Site'!$A$2:$E$338,5,FALSE)</f>
        <v>240</v>
      </c>
      <c r="L43" s="5">
        <f ca="1">VLOOKUP(A43,'Kealing Site'!$A$2:$F$338,6,FALSE)</f>
        <v>6</v>
      </c>
    </row>
    <row r="44" spans="1:12" hidden="1">
      <c r="A44" s="16">
        <v>11035</v>
      </c>
      <c r="B44" s="16" t="str">
        <f>VLOOKUP(A44,'Reg Sheet'!A$2:F$357,6,FALSE)</f>
        <v>HS</v>
      </c>
      <c r="C44" s="4" t="s">
        <v>57</v>
      </c>
      <c r="D44" s="4" t="s">
        <v>23</v>
      </c>
      <c r="E44" s="4" t="str">
        <f>VLOOKUP(A44,'Reg Sheet'!A$2:G$357,7,FALSE)</f>
        <v>9th</v>
      </c>
      <c r="F44" s="5" t="s">
        <v>13</v>
      </c>
      <c r="G44" s="5">
        <f t="shared" ca="1" si="0"/>
        <v>546</v>
      </c>
      <c r="H44" s="5">
        <f t="shared" ca="1" si="1"/>
        <v>24</v>
      </c>
      <c r="I44" s="5">
        <v>264</v>
      </c>
      <c r="J44" s="5">
        <v>10</v>
      </c>
      <c r="K44" s="5">
        <f ca="1">VLOOKUP(A44,'Kealing Site'!$A$2:$E$338,5,FALSE)</f>
        <v>282</v>
      </c>
      <c r="L44" s="5">
        <f ca="1">VLOOKUP(A44,'Kealing Site'!$A$2:$F$338,6,FALSE)</f>
        <v>14</v>
      </c>
    </row>
    <row r="45" spans="1:12" hidden="1">
      <c r="A45" s="16">
        <v>11036</v>
      </c>
      <c r="B45" s="16" t="str">
        <f>VLOOKUP(A45,'Reg Sheet'!A$2:F$357,6,FALSE)</f>
        <v>HS</v>
      </c>
      <c r="C45" s="4" t="s">
        <v>58</v>
      </c>
      <c r="D45" s="4" t="s">
        <v>23</v>
      </c>
      <c r="E45" s="4" t="str">
        <f>VLOOKUP(A45,'Reg Sheet'!A$2:G$357,7,FALSE)</f>
        <v>12th</v>
      </c>
      <c r="F45" s="5" t="s">
        <v>13</v>
      </c>
      <c r="G45" s="5" t="e">
        <f t="shared" ca="1" si="0"/>
        <v>#N/A</v>
      </c>
      <c r="H45" s="5" t="e">
        <f t="shared" ca="1" si="1"/>
        <v>#N/A</v>
      </c>
      <c r="I45" s="5">
        <v>255</v>
      </c>
      <c r="J45" s="5">
        <v>8</v>
      </c>
      <c r="K45" s="5" t="e">
        <f ca="1">VLOOKUP(A45,'Kealing Site'!$A$2:$E$338,5,FALSE)</f>
        <v>#N/A</v>
      </c>
      <c r="L45" s="5" t="e">
        <f ca="1">VLOOKUP(A45,'Kealing Site'!$A$2:$F$338,6,FALSE)</f>
        <v>#N/A</v>
      </c>
    </row>
    <row r="46" spans="1:12" hidden="1">
      <c r="A46" s="16">
        <v>11037</v>
      </c>
      <c r="B46" s="16" t="str">
        <f>VLOOKUP(A46,'Reg Sheet'!A$2:F$357,6,FALSE)</f>
        <v>HS</v>
      </c>
      <c r="C46" s="4" t="s">
        <v>59</v>
      </c>
      <c r="D46" s="4" t="s">
        <v>23</v>
      </c>
      <c r="E46" s="4" t="str">
        <f>VLOOKUP(A46,'Reg Sheet'!A$2:G$357,7,FALSE)</f>
        <v>10th</v>
      </c>
      <c r="F46" s="5" t="s">
        <v>15</v>
      </c>
      <c r="G46" s="5" t="e">
        <f t="shared" ca="1" si="0"/>
        <v>#N/A</v>
      </c>
      <c r="H46" s="5" t="e">
        <f t="shared" ca="1" si="1"/>
        <v>#N/A</v>
      </c>
      <c r="I46" s="5" t="e">
        <v>#N/A</v>
      </c>
      <c r="J46" s="5" t="e">
        <v>#N/A</v>
      </c>
      <c r="K46" s="5" t="str">
        <f ca="1">VLOOKUP(A46,'Kealing Site'!$A$2:$E$338,5,FALSE)</f>
        <v>Posting</v>
      </c>
      <c r="L46" s="5" t="str">
        <f ca="1">VLOOKUP(A46,'Kealing Site'!$A$2:$F$338,6,FALSE)</f>
        <v>Posting</v>
      </c>
    </row>
    <row r="47" spans="1:12" hidden="1">
      <c r="A47" s="16">
        <v>11038</v>
      </c>
      <c r="B47" s="16" t="str">
        <f>VLOOKUP(A47,'Reg Sheet'!A$2:F$357,6,FALSE)</f>
        <v>HS</v>
      </c>
      <c r="C47" s="4" t="s">
        <v>60</v>
      </c>
      <c r="D47" s="4" t="s">
        <v>23</v>
      </c>
      <c r="E47" s="4" t="str">
        <f>VLOOKUP(A47,'Reg Sheet'!A$2:G$357,7,FALSE)</f>
        <v>12th</v>
      </c>
      <c r="F47" s="5" t="s">
        <v>13</v>
      </c>
      <c r="G47" s="5">
        <f t="shared" ca="1" si="0"/>
        <v>499</v>
      </c>
      <c r="H47" s="5">
        <f t="shared" ca="1" si="1"/>
        <v>9</v>
      </c>
      <c r="I47" s="5">
        <v>244</v>
      </c>
      <c r="J47" s="5">
        <v>3</v>
      </c>
      <c r="K47" s="5">
        <f ca="1">VLOOKUP(A47,'Kealing Site'!$A$2:$E$338,5,FALSE)</f>
        <v>255</v>
      </c>
      <c r="L47" s="5">
        <f ca="1">VLOOKUP(A47,'Kealing Site'!$A$2:$F$338,6,FALSE)</f>
        <v>6</v>
      </c>
    </row>
    <row r="48" spans="1:12" hidden="1">
      <c r="A48" s="16">
        <v>11039</v>
      </c>
      <c r="B48" s="16" t="str">
        <f>VLOOKUP(A48,'Reg Sheet'!A$2:F$357,6,FALSE)</f>
        <v>HS</v>
      </c>
      <c r="C48" s="4" t="s">
        <v>61</v>
      </c>
      <c r="D48" s="4" t="s">
        <v>23</v>
      </c>
      <c r="E48" s="4" t="str">
        <f>VLOOKUP(A48,'Reg Sheet'!A$2:G$357,7,FALSE)</f>
        <v>11th</v>
      </c>
      <c r="F48" s="5" t="s">
        <v>13</v>
      </c>
      <c r="G48" s="5">
        <f t="shared" ca="1" si="0"/>
        <v>571</v>
      </c>
      <c r="H48" s="5">
        <f t="shared" ca="1" si="1"/>
        <v>37</v>
      </c>
      <c r="I48" s="5">
        <v>288</v>
      </c>
      <c r="J48" s="5">
        <v>21</v>
      </c>
      <c r="K48" s="5">
        <f ca="1">VLOOKUP(A48,'Kealing Site'!$A$2:$E$338,5,FALSE)</f>
        <v>283</v>
      </c>
      <c r="L48" s="5">
        <f ca="1">VLOOKUP(A48,'Kealing Site'!$A$2:$F$338,6,FALSE)</f>
        <v>16</v>
      </c>
    </row>
    <row r="49" spans="1:12" hidden="1">
      <c r="A49" s="16">
        <v>11040</v>
      </c>
      <c r="B49" s="16" t="str">
        <f>VLOOKUP(A49,'Reg Sheet'!A$2:F$357,6,FALSE)</f>
        <v>HS</v>
      </c>
      <c r="C49" s="4" t="s">
        <v>62</v>
      </c>
      <c r="D49" s="4" t="s">
        <v>23</v>
      </c>
      <c r="E49" s="4" t="str">
        <f>VLOOKUP(A49,'Reg Sheet'!A$2:G$357,7,FALSE)</f>
        <v>9th</v>
      </c>
      <c r="F49" s="5" t="s">
        <v>15</v>
      </c>
      <c r="G49" s="5">
        <f t="shared" ca="1" si="0"/>
        <v>511</v>
      </c>
      <c r="H49" s="5">
        <f t="shared" ca="1" si="1"/>
        <v>12</v>
      </c>
      <c r="I49" s="5">
        <v>261</v>
      </c>
      <c r="J49" s="5">
        <v>8</v>
      </c>
      <c r="K49" s="5">
        <f ca="1">VLOOKUP(A49,'Kealing Site'!$A$2:$E$338,5,FALSE)</f>
        <v>250</v>
      </c>
      <c r="L49" s="5">
        <f ca="1">VLOOKUP(A49,'Kealing Site'!$A$2:$F$338,6,FALSE)</f>
        <v>4</v>
      </c>
    </row>
    <row r="50" spans="1:12" hidden="1">
      <c r="A50" s="16">
        <v>11041</v>
      </c>
      <c r="B50" s="16" t="s">
        <v>1021</v>
      </c>
      <c r="C50" s="4" t="s">
        <v>63</v>
      </c>
      <c r="D50" s="4" t="s">
        <v>23</v>
      </c>
      <c r="E50" s="4" t="s">
        <v>446</v>
      </c>
      <c r="F50" s="5" t="s">
        <v>15</v>
      </c>
      <c r="G50" s="5" t="e">
        <f t="shared" ca="1" si="0"/>
        <v>#N/A</v>
      </c>
      <c r="H50" s="5" t="e">
        <f t="shared" ca="1" si="1"/>
        <v>#N/A</v>
      </c>
      <c r="I50" s="5">
        <v>273</v>
      </c>
      <c r="J50" s="5">
        <v>13</v>
      </c>
      <c r="K50" s="5" t="e">
        <f ca="1">VLOOKUP(A50,'Kealing Site'!$A$2:$E$338,5,FALSE)</f>
        <v>#N/A</v>
      </c>
      <c r="L50" s="5" t="e">
        <f ca="1">VLOOKUP(A50,'Kealing Site'!$A$2:$F$338,6,FALSE)</f>
        <v>#N/A</v>
      </c>
    </row>
    <row r="51" spans="1:12" hidden="1">
      <c r="A51" s="16">
        <v>12001</v>
      </c>
      <c r="B51" s="16" t="str">
        <f>VLOOKUP(A51,'Reg Sheet'!A$2:F$357,6,FALSE)</f>
        <v>HS</v>
      </c>
      <c r="C51" s="4" t="s">
        <v>64</v>
      </c>
      <c r="D51" s="4" t="s">
        <v>65</v>
      </c>
      <c r="E51" s="4" t="str">
        <f>VLOOKUP(A51,'Reg Sheet'!A$2:G$357,7,FALSE)</f>
        <v>11th</v>
      </c>
      <c r="F51" s="5" t="s">
        <v>13</v>
      </c>
      <c r="G51" s="5">
        <f t="shared" ca="1" si="0"/>
        <v>414</v>
      </c>
      <c r="H51" s="5">
        <f t="shared" ca="1" si="1"/>
        <v>3</v>
      </c>
      <c r="I51" s="5">
        <v>196</v>
      </c>
      <c r="J51" s="5">
        <v>2</v>
      </c>
      <c r="K51" s="5">
        <f ca="1">VLOOKUP(A51,'Kealing Site'!$A$2:$E$338,5,FALSE)</f>
        <v>218</v>
      </c>
      <c r="L51" s="5">
        <f ca="1">VLOOKUP(A51,'Kealing Site'!$A$2:$F$338,6,FALSE)</f>
        <v>1</v>
      </c>
    </row>
    <row r="52" spans="1:12" hidden="1">
      <c r="A52" s="16">
        <v>12002</v>
      </c>
      <c r="B52" s="16" t="str">
        <f>VLOOKUP(A52,'Reg Sheet'!A$2:F$357,6,FALSE)</f>
        <v>HS</v>
      </c>
      <c r="C52" s="4" t="s">
        <v>66</v>
      </c>
      <c r="D52" s="4" t="s">
        <v>65</v>
      </c>
      <c r="E52" s="4" t="str">
        <f>VLOOKUP(A52,'Reg Sheet'!A$2:G$357,7,FALSE)</f>
        <v>11th</v>
      </c>
      <c r="F52" s="5" t="s">
        <v>15</v>
      </c>
      <c r="G52" s="5">
        <f t="shared" ca="1" si="0"/>
        <v>499</v>
      </c>
      <c r="H52" s="5">
        <f t="shared" ca="1" si="1"/>
        <v>14</v>
      </c>
      <c r="I52" s="5">
        <v>256</v>
      </c>
      <c r="J52" s="5">
        <v>6</v>
      </c>
      <c r="K52" s="5">
        <f ca="1">VLOOKUP(A52,'Kealing Site'!$A$2:$E$338,5,FALSE)</f>
        <v>243</v>
      </c>
      <c r="L52" s="5">
        <f ca="1">VLOOKUP(A52,'Kealing Site'!$A$2:$F$338,6,FALSE)</f>
        <v>8</v>
      </c>
    </row>
    <row r="53" spans="1:12" hidden="1">
      <c r="A53" s="16">
        <v>12003</v>
      </c>
      <c r="B53" s="16" t="str">
        <f>VLOOKUP(A53,'Reg Sheet'!A$2:F$357,6,FALSE)</f>
        <v>HS</v>
      </c>
      <c r="C53" s="4" t="s">
        <v>67</v>
      </c>
      <c r="D53" s="4" t="s">
        <v>65</v>
      </c>
      <c r="E53" s="4" t="str">
        <f>VLOOKUP(A53,'Reg Sheet'!A$2:G$357,7,FALSE)</f>
        <v>11th</v>
      </c>
      <c r="F53" s="5" t="s">
        <v>15</v>
      </c>
      <c r="G53" s="5">
        <f t="shared" ca="1" si="0"/>
        <v>336</v>
      </c>
      <c r="H53" s="5">
        <f t="shared" ca="1" si="1"/>
        <v>6</v>
      </c>
      <c r="I53" s="5">
        <v>171</v>
      </c>
      <c r="J53" s="5">
        <v>5</v>
      </c>
      <c r="K53" s="5">
        <f ca="1">VLOOKUP(A53,'Kealing Site'!$A$2:$E$338,5,FALSE)</f>
        <v>165</v>
      </c>
      <c r="L53" s="5">
        <f ca="1">VLOOKUP(A53,'Kealing Site'!$A$2:$F$338,6,FALSE)</f>
        <v>1</v>
      </c>
    </row>
    <row r="54" spans="1:12" hidden="1">
      <c r="A54" s="16">
        <v>12004</v>
      </c>
      <c r="B54" s="16" t="str">
        <f>VLOOKUP(A54,'Reg Sheet'!A$2:F$357,6,FALSE)</f>
        <v>HS</v>
      </c>
      <c r="C54" s="4" t="s">
        <v>68</v>
      </c>
      <c r="D54" s="4" t="s">
        <v>65</v>
      </c>
      <c r="E54" s="4" t="str">
        <f>VLOOKUP(A54,'Reg Sheet'!A$2:G$357,7,FALSE)</f>
        <v>12th</v>
      </c>
      <c r="F54" s="5" t="s">
        <v>13</v>
      </c>
      <c r="G54" s="5">
        <f t="shared" ca="1" si="0"/>
        <v>361</v>
      </c>
      <c r="H54" s="5">
        <f t="shared" ca="1" si="1"/>
        <v>4</v>
      </c>
      <c r="I54" s="5">
        <v>170</v>
      </c>
      <c r="J54" s="5">
        <v>1</v>
      </c>
      <c r="K54" s="5">
        <f ca="1">VLOOKUP(A54,'Kealing Site'!$A$2:$E$338,5,FALSE)</f>
        <v>191</v>
      </c>
      <c r="L54" s="5">
        <f ca="1">VLOOKUP(A54,'Kealing Site'!$A$2:$F$338,6,FALSE)</f>
        <v>3</v>
      </c>
    </row>
    <row r="55" spans="1:12" hidden="1">
      <c r="A55" s="16">
        <v>13001</v>
      </c>
      <c r="B55" s="16" t="str">
        <f>VLOOKUP(A55,'Reg Sheet'!A$2:F$357,6,FALSE)</f>
        <v>MS</v>
      </c>
      <c r="C55" s="4" t="s">
        <v>69</v>
      </c>
      <c r="D55" s="4" t="s">
        <v>70</v>
      </c>
      <c r="E55" s="4" t="str">
        <f>VLOOKUP(A55,'Reg Sheet'!A$2:G$357,7,FALSE)</f>
        <v>6th</v>
      </c>
      <c r="F55" s="5" t="s">
        <v>13</v>
      </c>
      <c r="G55" s="5">
        <f t="shared" ca="1" si="0"/>
        <v>462</v>
      </c>
      <c r="H55" s="5">
        <f t="shared" ca="1" si="1"/>
        <v>7</v>
      </c>
      <c r="I55" s="5">
        <v>230</v>
      </c>
      <c r="J55" s="5">
        <v>3</v>
      </c>
      <c r="K55" s="5">
        <f ca="1">VLOOKUP(A55,'Kealing Site'!$A$2:$E$338,5,FALSE)</f>
        <v>232</v>
      </c>
      <c r="L55" s="5">
        <f ca="1">VLOOKUP(A55,'Kealing Site'!$A$2:$F$338,6,FALSE)</f>
        <v>4</v>
      </c>
    </row>
    <row r="56" spans="1:12" hidden="1">
      <c r="A56" s="16">
        <v>13002</v>
      </c>
      <c r="B56" s="16" t="str">
        <f>VLOOKUP(A56,'Reg Sheet'!A$2:F$357,6,FALSE)</f>
        <v>HS</v>
      </c>
      <c r="C56" s="4" t="s">
        <v>71</v>
      </c>
      <c r="D56" s="4" t="s">
        <v>70</v>
      </c>
      <c r="E56" s="4" t="str">
        <f>VLOOKUP(A56,'Reg Sheet'!A$2:G$357,7,FALSE)</f>
        <v>9th</v>
      </c>
      <c r="F56" s="5" t="s">
        <v>15</v>
      </c>
      <c r="G56" s="5">
        <f t="shared" ca="1" si="0"/>
        <v>538</v>
      </c>
      <c r="H56" s="5">
        <f t="shared" ca="1" si="1"/>
        <v>20</v>
      </c>
      <c r="I56" s="5">
        <v>268</v>
      </c>
      <c r="J56" s="5">
        <v>8</v>
      </c>
      <c r="K56" s="5">
        <f ca="1">VLOOKUP(A56,'Kealing Site'!$A$2:$E$338,5,FALSE)</f>
        <v>270</v>
      </c>
      <c r="L56" s="5">
        <f ca="1">VLOOKUP(A56,'Kealing Site'!$A$2:$F$338,6,FALSE)</f>
        <v>12</v>
      </c>
    </row>
    <row r="57" spans="1:12" hidden="1">
      <c r="A57" s="16">
        <v>13003</v>
      </c>
      <c r="B57" s="16" t="str">
        <f>VLOOKUP(A57,'Reg Sheet'!A$2:F$357,6,FALSE)</f>
        <v>MS</v>
      </c>
      <c r="C57" s="4" t="s">
        <v>72</v>
      </c>
      <c r="D57" s="4" t="s">
        <v>70</v>
      </c>
      <c r="E57" s="4" t="str">
        <f>VLOOKUP(A57,'Reg Sheet'!A$2:G$357,7,FALSE)</f>
        <v>8th</v>
      </c>
      <c r="F57" s="5" t="s">
        <v>13</v>
      </c>
      <c r="G57" s="5">
        <f t="shared" ca="1" si="0"/>
        <v>552</v>
      </c>
      <c r="H57" s="5">
        <f t="shared" ca="1" si="1"/>
        <v>25</v>
      </c>
      <c r="I57" s="5">
        <v>275</v>
      </c>
      <c r="J57" s="5">
        <v>13</v>
      </c>
      <c r="K57" s="5">
        <f ca="1">VLOOKUP(A57,'Kealing Site'!$A$2:$E$338,5,FALSE)</f>
        <v>277</v>
      </c>
      <c r="L57" s="5">
        <f ca="1">VLOOKUP(A57,'Kealing Site'!$A$2:$F$338,6,FALSE)</f>
        <v>12</v>
      </c>
    </row>
    <row r="58" spans="1:12" hidden="1">
      <c r="A58" s="16">
        <v>13004</v>
      </c>
      <c r="B58" s="16" t="str">
        <f>VLOOKUP(A58,'Reg Sheet'!A$2:F$357,6,FALSE)</f>
        <v>MS</v>
      </c>
      <c r="C58" s="4" t="s">
        <v>73</v>
      </c>
      <c r="D58" s="4" t="s">
        <v>70</v>
      </c>
      <c r="E58" s="4" t="str">
        <f>VLOOKUP(A58,'Reg Sheet'!A$2:G$357,7,FALSE)</f>
        <v>7th</v>
      </c>
      <c r="F58" s="5" t="s">
        <v>15</v>
      </c>
      <c r="G58" s="5">
        <f t="shared" ca="1" si="0"/>
        <v>545</v>
      </c>
      <c r="H58" s="5">
        <f t="shared" ca="1" si="1"/>
        <v>22</v>
      </c>
      <c r="I58" s="5">
        <v>275</v>
      </c>
      <c r="J58" s="5">
        <v>12</v>
      </c>
      <c r="K58" s="5">
        <f ca="1">VLOOKUP(A58,'Kealing Site'!$A$2:$E$338,5,FALSE)</f>
        <v>270</v>
      </c>
      <c r="L58" s="5">
        <f ca="1">VLOOKUP(A58,'Kealing Site'!$A$2:$F$338,6,FALSE)</f>
        <v>10</v>
      </c>
    </row>
    <row r="59" spans="1:12" hidden="1">
      <c r="A59" s="16">
        <v>13005</v>
      </c>
      <c r="B59" s="16" t="str">
        <f>VLOOKUP(A59,'Reg Sheet'!A$2:F$357,6,FALSE)</f>
        <v>MS</v>
      </c>
      <c r="C59" s="4" t="s">
        <v>74</v>
      </c>
      <c r="D59" s="4" t="s">
        <v>70</v>
      </c>
      <c r="E59" s="4" t="str">
        <f>VLOOKUP(A59,'Reg Sheet'!A$2:G$357,7,FALSE)</f>
        <v>8th</v>
      </c>
      <c r="F59" s="5" t="s">
        <v>15</v>
      </c>
      <c r="G59" s="5">
        <f t="shared" ca="1" si="0"/>
        <v>529</v>
      </c>
      <c r="H59" s="5">
        <f t="shared" ca="1" si="1"/>
        <v>18</v>
      </c>
      <c r="I59" s="5">
        <v>279</v>
      </c>
      <c r="J59" s="5">
        <v>13</v>
      </c>
      <c r="K59" s="5">
        <f ca="1">VLOOKUP(A59,'Kealing Site'!$A$2:$E$338,5,FALSE)</f>
        <v>250</v>
      </c>
      <c r="L59" s="5">
        <f ca="1">VLOOKUP(A59,'Kealing Site'!$A$2:$F$338,6,FALSE)</f>
        <v>5</v>
      </c>
    </row>
    <row r="60" spans="1:12" hidden="1">
      <c r="A60" s="16">
        <v>13006</v>
      </c>
      <c r="B60" s="16" t="str">
        <f>VLOOKUP(A60,'Reg Sheet'!A$2:F$357,6,FALSE)</f>
        <v>MS</v>
      </c>
      <c r="C60" s="4" t="s">
        <v>75</v>
      </c>
      <c r="D60" s="4" t="s">
        <v>70</v>
      </c>
      <c r="E60" s="4" t="str">
        <f>VLOOKUP(A60,'Reg Sheet'!A$2:G$357,7,FALSE)</f>
        <v>6th</v>
      </c>
      <c r="F60" s="5" t="s">
        <v>15</v>
      </c>
      <c r="G60" s="5">
        <f t="shared" ca="1" si="0"/>
        <v>530</v>
      </c>
      <c r="H60" s="5">
        <f t="shared" ca="1" si="1"/>
        <v>16</v>
      </c>
      <c r="I60" s="5">
        <v>268</v>
      </c>
      <c r="J60" s="5">
        <v>9</v>
      </c>
      <c r="K60" s="5">
        <f ca="1">VLOOKUP(A60,'Kealing Site'!$A$2:$E$338,5,FALSE)</f>
        <v>262</v>
      </c>
      <c r="L60" s="5">
        <f ca="1">VLOOKUP(A60,'Kealing Site'!$A$2:$F$338,6,FALSE)</f>
        <v>7</v>
      </c>
    </row>
    <row r="61" spans="1:12" hidden="1">
      <c r="A61" s="16">
        <v>13007</v>
      </c>
      <c r="B61" s="16" t="str">
        <f>VLOOKUP(A61,'Reg Sheet'!A$2:F$357,6,FALSE)</f>
        <v>MS</v>
      </c>
      <c r="C61" s="4" t="s">
        <v>76</v>
      </c>
      <c r="D61" s="4" t="s">
        <v>70</v>
      </c>
      <c r="E61" s="4" t="str">
        <f>VLOOKUP(A61,'Reg Sheet'!A$2:G$357,7,FALSE)</f>
        <v>9th</v>
      </c>
      <c r="F61" s="5" t="s">
        <v>13</v>
      </c>
      <c r="G61" s="5">
        <f t="shared" ca="1" si="0"/>
        <v>534</v>
      </c>
      <c r="H61" s="5">
        <f t="shared" ca="1" si="1"/>
        <v>19</v>
      </c>
      <c r="I61" s="5">
        <v>266</v>
      </c>
      <c r="J61" s="5">
        <v>7</v>
      </c>
      <c r="K61" s="5">
        <f ca="1">VLOOKUP(A61,'Kealing Site'!$A$2:$E$338,5,FALSE)</f>
        <v>268</v>
      </c>
      <c r="L61" s="5">
        <f ca="1">VLOOKUP(A61,'Kealing Site'!$A$2:$F$338,6,FALSE)</f>
        <v>12</v>
      </c>
    </row>
    <row r="62" spans="1:12" hidden="1">
      <c r="A62" s="16">
        <v>13008</v>
      </c>
      <c r="B62" s="16" t="str">
        <f>VLOOKUP(A62,'Reg Sheet'!A$2:F$357,6,FALSE)</f>
        <v>MS</v>
      </c>
      <c r="C62" s="4" t="s">
        <v>77</v>
      </c>
      <c r="D62" s="4" t="s">
        <v>70</v>
      </c>
      <c r="E62" s="4" t="str">
        <f>VLOOKUP(A62,'Reg Sheet'!A$2:G$357,7,FALSE)</f>
        <v>7th</v>
      </c>
      <c r="F62" s="5" t="s">
        <v>13</v>
      </c>
      <c r="G62" s="5">
        <f t="shared" ca="1" si="0"/>
        <v>541</v>
      </c>
      <c r="H62" s="5">
        <f t="shared" ca="1" si="1"/>
        <v>23</v>
      </c>
      <c r="I62" s="5">
        <v>266</v>
      </c>
      <c r="J62" s="5">
        <v>8</v>
      </c>
      <c r="K62" s="5">
        <f ca="1">VLOOKUP(A62,'Kealing Site'!$A$2:$E$338,5,FALSE)</f>
        <v>275</v>
      </c>
      <c r="L62" s="5">
        <f ca="1">VLOOKUP(A62,'Kealing Site'!$A$2:$F$338,6,FALSE)</f>
        <v>15</v>
      </c>
    </row>
    <row r="63" spans="1:12" hidden="1">
      <c r="A63" s="16">
        <v>13009</v>
      </c>
      <c r="B63" s="16" t="str">
        <f>VLOOKUP(A63,'Reg Sheet'!A$2:F$357,6,FALSE)</f>
        <v>MS</v>
      </c>
      <c r="C63" s="4" t="s">
        <v>78</v>
      </c>
      <c r="D63" s="4" t="s">
        <v>70</v>
      </c>
      <c r="E63" s="4" t="str">
        <f>VLOOKUP(A63,'Reg Sheet'!A$2:G$357,7,FALSE)</f>
        <v>7th</v>
      </c>
      <c r="F63" s="5" t="s">
        <v>13</v>
      </c>
      <c r="G63" s="5">
        <f t="shared" ca="1" si="0"/>
        <v>492</v>
      </c>
      <c r="H63" s="5">
        <f t="shared" ca="1" si="1"/>
        <v>9</v>
      </c>
      <c r="I63" s="5">
        <v>241</v>
      </c>
      <c r="J63" s="5">
        <v>4</v>
      </c>
      <c r="K63" s="5">
        <f ca="1">VLOOKUP(A63,'Kealing Site'!$A$2:$E$338,5,FALSE)</f>
        <v>251</v>
      </c>
      <c r="L63" s="5">
        <f ca="1">VLOOKUP(A63,'Kealing Site'!$A$2:$F$338,6,FALSE)</f>
        <v>5</v>
      </c>
    </row>
    <row r="64" spans="1:12" hidden="1">
      <c r="A64" s="16">
        <v>13010</v>
      </c>
      <c r="B64" s="16" t="str">
        <f>VLOOKUP(A64,'Reg Sheet'!A$2:F$357,6,FALSE)</f>
        <v>MS</v>
      </c>
      <c r="C64" s="4" t="s">
        <v>79</v>
      </c>
      <c r="D64" s="4" t="s">
        <v>70</v>
      </c>
      <c r="E64" s="4" t="str">
        <f>VLOOKUP(A64,'Reg Sheet'!A$2:G$357,7,FALSE)</f>
        <v>8th</v>
      </c>
      <c r="F64" s="5" t="s">
        <v>15</v>
      </c>
      <c r="G64" s="5">
        <f t="shared" ca="1" si="0"/>
        <v>513</v>
      </c>
      <c r="H64" s="5">
        <f t="shared" ca="1" si="1"/>
        <v>11</v>
      </c>
      <c r="I64" s="5">
        <v>259</v>
      </c>
      <c r="J64" s="5">
        <v>8</v>
      </c>
      <c r="K64" s="5">
        <f ca="1">VLOOKUP(A64,'Kealing Site'!$A$2:$E$338,5,FALSE)</f>
        <v>254</v>
      </c>
      <c r="L64" s="5">
        <f ca="1">VLOOKUP(A64,'Kealing Site'!$A$2:$F$338,6,FALSE)</f>
        <v>3</v>
      </c>
    </row>
    <row r="65" spans="1:12" hidden="1">
      <c r="A65" s="16">
        <v>13011</v>
      </c>
      <c r="B65" s="16" t="str">
        <f>VLOOKUP(A65,'Reg Sheet'!A$2:F$357,6,FALSE)</f>
        <v>MS</v>
      </c>
      <c r="C65" s="4" t="s">
        <v>80</v>
      </c>
      <c r="D65" s="4" t="s">
        <v>70</v>
      </c>
      <c r="E65" s="4" t="str">
        <f>VLOOKUP(A65,'Reg Sheet'!A$2:G$357,7,FALSE)</f>
        <v>8th</v>
      </c>
      <c r="F65" s="5" t="s">
        <v>15</v>
      </c>
      <c r="G65" s="5">
        <f t="shared" ca="1" si="0"/>
        <v>499</v>
      </c>
      <c r="H65" s="5">
        <f t="shared" ca="1" si="1"/>
        <v>10</v>
      </c>
      <c r="I65" s="5">
        <v>251</v>
      </c>
      <c r="J65" s="5">
        <v>4</v>
      </c>
      <c r="K65" s="5">
        <f ca="1">VLOOKUP(A65,'Kealing Site'!$A$2:$E$338,5,FALSE)</f>
        <v>248</v>
      </c>
      <c r="L65" s="5">
        <f ca="1">VLOOKUP(A65,'Kealing Site'!$A$2:$F$338,6,FALSE)</f>
        <v>6</v>
      </c>
    </row>
    <row r="66" spans="1:12" hidden="1">
      <c r="A66" s="16">
        <v>13012</v>
      </c>
      <c r="B66" s="16" t="str">
        <f>VLOOKUP(A66,'Reg Sheet'!A$2:F$357,6,FALSE)</f>
        <v>MS</v>
      </c>
      <c r="C66" s="4" t="s">
        <v>81</v>
      </c>
      <c r="D66" s="4" t="s">
        <v>70</v>
      </c>
      <c r="E66" s="4" t="str">
        <f>VLOOKUP(A66,'Reg Sheet'!A$2:G$357,7,FALSE)</f>
        <v>6th</v>
      </c>
      <c r="F66" s="5" t="s">
        <v>13</v>
      </c>
      <c r="G66" s="5">
        <f t="shared" ref="G66:G129" ca="1" si="2">I66+K66</f>
        <v>494</v>
      </c>
      <c r="H66" s="5">
        <f t="shared" ref="H66:H129" ca="1" si="3">J66+L66</f>
        <v>10</v>
      </c>
      <c r="I66" s="5">
        <v>246</v>
      </c>
      <c r="J66" s="5">
        <v>2</v>
      </c>
      <c r="K66" s="5">
        <f ca="1">VLOOKUP(A66,'Kealing Site'!$A$2:$E$338,5,FALSE)</f>
        <v>248</v>
      </c>
      <c r="L66" s="5">
        <f ca="1">VLOOKUP(A66,'Kealing Site'!$A$2:$F$338,6,FALSE)</f>
        <v>8</v>
      </c>
    </row>
    <row r="67" spans="1:12" hidden="1">
      <c r="A67" s="16">
        <v>14001</v>
      </c>
      <c r="B67" s="16" t="str">
        <f>VLOOKUP(A67,'Reg Sheet'!A$2:F$357,6,FALSE)</f>
        <v>HS</v>
      </c>
      <c r="C67" s="4" t="s">
        <v>82</v>
      </c>
      <c r="D67" s="4" t="s">
        <v>83</v>
      </c>
      <c r="E67" s="4" t="str">
        <f>VLOOKUP(A67,'Reg Sheet'!A$2:G$357,7,FALSE)</f>
        <v>10th</v>
      </c>
      <c r="F67" s="5" t="s">
        <v>15</v>
      </c>
      <c r="G67" s="5">
        <f t="shared" ca="1" si="2"/>
        <v>518</v>
      </c>
      <c r="H67" s="5">
        <f t="shared" ca="1" si="3"/>
        <v>14</v>
      </c>
      <c r="I67" s="5">
        <v>261</v>
      </c>
      <c r="J67" s="5">
        <v>7</v>
      </c>
      <c r="K67" s="5">
        <f ca="1">VLOOKUP(A67,'Kealing Site'!$A$2:$E$338,5,FALSE)</f>
        <v>257</v>
      </c>
      <c r="L67" s="5">
        <f ca="1">VLOOKUP(A67,'Kealing Site'!$A$2:$F$338,6,FALSE)</f>
        <v>7</v>
      </c>
    </row>
    <row r="68" spans="1:12" hidden="1">
      <c r="A68" s="16">
        <v>14002</v>
      </c>
      <c r="B68" s="16" t="str">
        <f>VLOOKUP(A68,'Reg Sheet'!A$2:F$357,6,FALSE)</f>
        <v>HS</v>
      </c>
      <c r="C68" s="4" t="s">
        <v>84</v>
      </c>
      <c r="D68" s="4" t="s">
        <v>83</v>
      </c>
      <c r="E68" s="4" t="str">
        <f>VLOOKUP(A68,'Reg Sheet'!A$2:G$357,7,FALSE)</f>
        <v>10th</v>
      </c>
      <c r="F68" s="5" t="s">
        <v>15</v>
      </c>
      <c r="G68" s="5">
        <f t="shared" ca="1" si="2"/>
        <v>553</v>
      </c>
      <c r="H68" s="5">
        <f t="shared" ca="1" si="3"/>
        <v>24</v>
      </c>
      <c r="I68" s="5">
        <v>279</v>
      </c>
      <c r="J68" s="5">
        <v>12</v>
      </c>
      <c r="K68" s="5">
        <f ca="1">VLOOKUP(A68,'Kealing Site'!$A$2:$E$338,5,FALSE)</f>
        <v>274</v>
      </c>
      <c r="L68" s="5">
        <f ca="1">VLOOKUP(A68,'Kealing Site'!$A$2:$F$338,6,FALSE)</f>
        <v>12</v>
      </c>
    </row>
    <row r="69" spans="1:12" hidden="1">
      <c r="A69" s="16">
        <v>14003</v>
      </c>
      <c r="B69" s="16" t="str">
        <f>VLOOKUP(A69,'Reg Sheet'!A$2:F$357,6,FALSE)</f>
        <v>HS</v>
      </c>
      <c r="C69" s="4" t="s">
        <v>85</v>
      </c>
      <c r="D69" s="4" t="s">
        <v>83</v>
      </c>
      <c r="E69" s="4" t="str">
        <f>VLOOKUP(A69,'Reg Sheet'!A$2:G$357,7,FALSE)</f>
        <v>9th</v>
      </c>
      <c r="F69" s="5" t="s">
        <v>13</v>
      </c>
      <c r="G69" s="5">
        <f t="shared" ca="1" si="2"/>
        <v>498</v>
      </c>
      <c r="H69" s="5">
        <f t="shared" ca="1" si="3"/>
        <v>11</v>
      </c>
      <c r="I69" s="5">
        <v>260</v>
      </c>
      <c r="J69" s="5">
        <v>6</v>
      </c>
      <c r="K69" s="5">
        <f ca="1">VLOOKUP(A69,'Kealing Site'!$A$2:$E$338,5,FALSE)</f>
        <v>238</v>
      </c>
      <c r="L69" s="5">
        <f ca="1">VLOOKUP(A69,'Kealing Site'!$A$2:$F$338,6,FALSE)</f>
        <v>5</v>
      </c>
    </row>
    <row r="70" spans="1:12" hidden="1">
      <c r="A70" s="16">
        <v>14004</v>
      </c>
      <c r="B70" s="16" t="str">
        <f>VLOOKUP(A70,'Reg Sheet'!A$2:F$357,6,FALSE)</f>
        <v>HS</v>
      </c>
      <c r="C70" s="4" t="s">
        <v>86</v>
      </c>
      <c r="D70" s="4" t="s">
        <v>83</v>
      </c>
      <c r="E70" s="4" t="str">
        <f>VLOOKUP(A70,'Reg Sheet'!A$2:G$357,7,FALSE)</f>
        <v>10th</v>
      </c>
      <c r="F70" s="5" t="s">
        <v>13</v>
      </c>
      <c r="G70" s="5">
        <f t="shared" ca="1" si="2"/>
        <v>551</v>
      </c>
      <c r="H70" s="5">
        <f t="shared" ca="1" si="3"/>
        <v>26</v>
      </c>
      <c r="I70" s="5">
        <v>277</v>
      </c>
      <c r="J70" s="5">
        <v>12</v>
      </c>
      <c r="K70" s="5">
        <f ca="1">VLOOKUP(A70,'Kealing Site'!$A$2:$E$338,5,FALSE)</f>
        <v>274</v>
      </c>
      <c r="L70" s="5">
        <f ca="1">VLOOKUP(A70,'Kealing Site'!$A$2:$F$338,6,FALSE)</f>
        <v>14</v>
      </c>
    </row>
    <row r="71" spans="1:12" hidden="1">
      <c r="A71" s="16">
        <v>14005</v>
      </c>
      <c r="B71" s="16" t="str">
        <f>VLOOKUP(A71,'Reg Sheet'!A$2:F$357,6,FALSE)</f>
        <v>HS</v>
      </c>
      <c r="C71" s="4" t="s">
        <v>87</v>
      </c>
      <c r="D71" s="4" t="s">
        <v>83</v>
      </c>
      <c r="E71" s="4" t="str">
        <f>VLOOKUP(A71,'Reg Sheet'!A$2:G$357,7,FALSE)</f>
        <v>11th</v>
      </c>
      <c r="F71" s="5" t="s">
        <v>15</v>
      </c>
      <c r="G71" s="5">
        <f t="shared" ca="1" si="2"/>
        <v>520</v>
      </c>
      <c r="H71" s="5">
        <f t="shared" ca="1" si="3"/>
        <v>17</v>
      </c>
      <c r="I71" s="5">
        <v>258</v>
      </c>
      <c r="J71" s="5">
        <v>7</v>
      </c>
      <c r="K71" s="5">
        <f ca="1">VLOOKUP(A71,'Kealing Site'!$A$2:$E$338,5,FALSE)</f>
        <v>262</v>
      </c>
      <c r="L71" s="5">
        <f ca="1">VLOOKUP(A71,'Kealing Site'!$A$2:$F$338,6,FALSE)</f>
        <v>10</v>
      </c>
    </row>
    <row r="72" spans="1:12" hidden="1">
      <c r="A72" s="16">
        <v>14006</v>
      </c>
      <c r="B72" s="16" t="str">
        <f>VLOOKUP(A72,'Reg Sheet'!A$2:F$357,6,FALSE)</f>
        <v>HS</v>
      </c>
      <c r="C72" s="4" t="s">
        <v>88</v>
      </c>
      <c r="D72" s="4" t="s">
        <v>83</v>
      </c>
      <c r="E72" s="4" t="str">
        <f>VLOOKUP(A72,'Reg Sheet'!A$2:G$357,7,FALSE)</f>
        <v>9th</v>
      </c>
      <c r="F72" s="5" t="s">
        <v>13</v>
      </c>
      <c r="G72" s="5">
        <f t="shared" ca="1" si="2"/>
        <v>513</v>
      </c>
      <c r="H72" s="5">
        <f t="shared" ca="1" si="3"/>
        <v>16</v>
      </c>
      <c r="I72" s="5">
        <v>259</v>
      </c>
      <c r="J72" s="5">
        <v>6</v>
      </c>
      <c r="K72" s="5">
        <f ca="1">VLOOKUP(A72,'Kealing Site'!$A$2:$E$338,5,FALSE)</f>
        <v>254</v>
      </c>
      <c r="L72" s="5">
        <f ca="1">VLOOKUP(A72,'Kealing Site'!$A$2:$F$338,6,FALSE)</f>
        <v>10</v>
      </c>
    </row>
    <row r="73" spans="1:12" hidden="1">
      <c r="A73" s="16">
        <v>14007</v>
      </c>
      <c r="B73" s="16" t="str">
        <f>VLOOKUP(A73,'Reg Sheet'!A$2:F$357,6,FALSE)</f>
        <v>HS</v>
      </c>
      <c r="C73" s="4" t="s">
        <v>89</v>
      </c>
      <c r="D73" s="4" t="s">
        <v>83</v>
      </c>
      <c r="E73" s="4" t="str">
        <f>VLOOKUP(A73,'Reg Sheet'!A$2:G$357,7,FALSE)</f>
        <v>11th</v>
      </c>
      <c r="F73" s="5" t="s">
        <v>13</v>
      </c>
      <c r="G73" s="5">
        <f t="shared" ca="1" si="2"/>
        <v>509</v>
      </c>
      <c r="H73" s="5">
        <f t="shared" ca="1" si="3"/>
        <v>14</v>
      </c>
      <c r="I73" s="5">
        <v>250</v>
      </c>
      <c r="J73" s="5">
        <v>5</v>
      </c>
      <c r="K73" s="5">
        <f ca="1">VLOOKUP(A73,'Kealing Site'!$A$2:$E$338,5,FALSE)</f>
        <v>259</v>
      </c>
      <c r="L73" s="5">
        <f ca="1">VLOOKUP(A73,'Kealing Site'!$A$2:$F$338,6,FALSE)</f>
        <v>9</v>
      </c>
    </row>
    <row r="74" spans="1:12" hidden="1">
      <c r="A74" s="16">
        <v>14008</v>
      </c>
      <c r="B74" s="16" t="str">
        <f>VLOOKUP(A74,'Reg Sheet'!A$2:F$357,6,FALSE)</f>
        <v>HS</v>
      </c>
      <c r="C74" s="4" t="s">
        <v>90</v>
      </c>
      <c r="D74" s="4" t="s">
        <v>83</v>
      </c>
      <c r="E74" s="4" t="str">
        <f>VLOOKUP(A74,'Reg Sheet'!A$2:G$357,7,FALSE)</f>
        <v>9th</v>
      </c>
      <c r="F74" s="5" t="s">
        <v>13</v>
      </c>
      <c r="G74" s="5" t="e">
        <f t="shared" ca="1" si="2"/>
        <v>#N/A</v>
      </c>
      <c r="H74" s="5" t="e">
        <f t="shared" ca="1" si="3"/>
        <v>#N/A</v>
      </c>
      <c r="I74" s="5" t="e">
        <v>#N/A</v>
      </c>
      <c r="J74" s="5" t="e">
        <v>#N/A</v>
      </c>
      <c r="K74" s="5">
        <f ca="1">VLOOKUP(A74,'Kealing Site'!$A$2:$E$338,5,FALSE)</f>
        <v>260</v>
      </c>
      <c r="L74" s="5">
        <f ca="1">VLOOKUP(A74,'Kealing Site'!$A$2:$F$338,6,FALSE)</f>
        <v>8</v>
      </c>
    </row>
    <row r="75" spans="1:12" hidden="1">
      <c r="A75" s="16">
        <v>14009</v>
      </c>
      <c r="B75" s="16" t="str">
        <f>VLOOKUP(A75,'Reg Sheet'!A$2:F$357,6,FALSE)</f>
        <v>HS</v>
      </c>
      <c r="C75" s="4" t="s">
        <v>91</v>
      </c>
      <c r="D75" s="4" t="s">
        <v>83</v>
      </c>
      <c r="E75" s="4" t="str">
        <f>VLOOKUP(A75,'Reg Sheet'!A$2:G$357,7,FALSE)</f>
        <v>10th</v>
      </c>
      <c r="F75" s="5" t="s">
        <v>13</v>
      </c>
      <c r="G75" s="5">
        <f t="shared" ca="1" si="2"/>
        <v>487</v>
      </c>
      <c r="H75" s="5">
        <f t="shared" ca="1" si="3"/>
        <v>10</v>
      </c>
      <c r="I75" s="5">
        <v>249</v>
      </c>
      <c r="J75" s="5">
        <v>5</v>
      </c>
      <c r="K75" s="5">
        <f ca="1">VLOOKUP(A75,'Kealing Site'!$A$2:$E$338,5,FALSE)</f>
        <v>238</v>
      </c>
      <c r="L75" s="5">
        <f ca="1">VLOOKUP(A75,'Kealing Site'!$A$2:$F$338,6,FALSE)</f>
        <v>5</v>
      </c>
    </row>
    <row r="76" spans="1:12" hidden="1">
      <c r="A76" s="16">
        <v>14010</v>
      </c>
      <c r="B76" s="16" t="str">
        <f>VLOOKUP(A76,'Reg Sheet'!A$2:F$357,6,FALSE)</f>
        <v>HS</v>
      </c>
      <c r="C76" s="4" t="s">
        <v>92</v>
      </c>
      <c r="D76" s="4" t="s">
        <v>83</v>
      </c>
      <c r="E76" s="4" t="str">
        <f>VLOOKUP(A76,'Reg Sheet'!A$2:G$357,7,FALSE)</f>
        <v>10th</v>
      </c>
      <c r="F76" s="5" t="s">
        <v>13</v>
      </c>
      <c r="G76" s="5">
        <f t="shared" ca="1" si="2"/>
        <v>546</v>
      </c>
      <c r="H76" s="5">
        <f t="shared" ca="1" si="3"/>
        <v>24</v>
      </c>
      <c r="I76" s="5">
        <v>266</v>
      </c>
      <c r="J76" s="5">
        <v>10</v>
      </c>
      <c r="K76" s="5">
        <f ca="1">VLOOKUP(A76,'Kealing Site'!$A$2:$E$338,5,FALSE)</f>
        <v>280</v>
      </c>
      <c r="L76" s="5">
        <f ca="1">VLOOKUP(A76,'Kealing Site'!$A$2:$F$338,6,FALSE)</f>
        <v>14</v>
      </c>
    </row>
    <row r="77" spans="1:12" hidden="1">
      <c r="A77" s="16">
        <v>14011</v>
      </c>
      <c r="B77" s="16" t="str">
        <f>VLOOKUP(A77,'Reg Sheet'!A$2:F$357,6,FALSE)</f>
        <v>HS</v>
      </c>
      <c r="C77" s="4" t="s">
        <v>93</v>
      </c>
      <c r="D77" s="4" t="s">
        <v>83</v>
      </c>
      <c r="E77" s="4" t="str">
        <f>VLOOKUP(A77,'Reg Sheet'!A$2:G$357,7,FALSE)</f>
        <v>10th</v>
      </c>
      <c r="F77" s="5" t="s">
        <v>13</v>
      </c>
      <c r="G77" s="5">
        <f t="shared" ca="1" si="2"/>
        <v>566</v>
      </c>
      <c r="H77" s="5">
        <f t="shared" ca="1" si="3"/>
        <v>35</v>
      </c>
      <c r="I77" s="5">
        <v>277</v>
      </c>
      <c r="J77" s="5">
        <v>15</v>
      </c>
      <c r="K77" s="5">
        <f ca="1">VLOOKUP(A77,'Kealing Site'!$A$2:$E$338,5,FALSE)</f>
        <v>289</v>
      </c>
      <c r="L77" s="5">
        <f ca="1">VLOOKUP(A77,'Kealing Site'!$A$2:$F$338,6,FALSE)</f>
        <v>20</v>
      </c>
    </row>
    <row r="78" spans="1:12" hidden="1">
      <c r="A78" s="16">
        <v>14012</v>
      </c>
      <c r="B78" s="16" t="str">
        <f>VLOOKUP(A78,'Reg Sheet'!A$2:F$357,6,FALSE)</f>
        <v>HS</v>
      </c>
      <c r="C78" s="4" t="s">
        <v>94</v>
      </c>
      <c r="D78" s="4" t="s">
        <v>83</v>
      </c>
      <c r="E78" s="4" t="str">
        <f>VLOOKUP(A78,'Reg Sheet'!A$2:G$357,7,FALSE)</f>
        <v>9th</v>
      </c>
      <c r="F78" s="5" t="s">
        <v>13</v>
      </c>
      <c r="G78" s="5">
        <f t="shared" ca="1" si="2"/>
        <v>480</v>
      </c>
      <c r="H78" s="5">
        <f t="shared" ca="1" si="3"/>
        <v>7</v>
      </c>
      <c r="I78" s="5">
        <v>238</v>
      </c>
      <c r="J78" s="5">
        <v>4</v>
      </c>
      <c r="K78" s="5">
        <f ca="1">VLOOKUP(A78,'Kealing Site'!$A$2:$E$338,5,FALSE)</f>
        <v>242</v>
      </c>
      <c r="L78" s="5">
        <f ca="1">VLOOKUP(A78,'Kealing Site'!$A$2:$F$338,6,FALSE)</f>
        <v>3</v>
      </c>
    </row>
    <row r="79" spans="1:12" hidden="1">
      <c r="A79" s="16">
        <v>14013</v>
      </c>
      <c r="B79" s="16" t="str">
        <f>VLOOKUP(A79,'Reg Sheet'!A$2:F$357,6,FALSE)</f>
        <v>HS</v>
      </c>
      <c r="C79" s="4" t="s">
        <v>95</v>
      </c>
      <c r="D79" s="4" t="s">
        <v>83</v>
      </c>
      <c r="E79" s="4" t="str">
        <f>VLOOKUP(A79,'Reg Sheet'!A$2:G$357,7,FALSE)</f>
        <v>9th</v>
      </c>
      <c r="F79" s="5" t="s">
        <v>13</v>
      </c>
      <c r="G79" s="5">
        <f t="shared" ca="1" si="2"/>
        <v>567</v>
      </c>
      <c r="H79" s="5">
        <f t="shared" ca="1" si="3"/>
        <v>31</v>
      </c>
      <c r="I79" s="5">
        <v>287</v>
      </c>
      <c r="J79" s="5">
        <v>17</v>
      </c>
      <c r="K79" s="5">
        <f ca="1">VLOOKUP(A79,'Kealing Site'!$A$2:$E$338,5,FALSE)</f>
        <v>280</v>
      </c>
      <c r="L79" s="5">
        <f ca="1">VLOOKUP(A79,'Kealing Site'!$A$2:$F$338,6,FALSE)</f>
        <v>14</v>
      </c>
    </row>
    <row r="80" spans="1:12" hidden="1">
      <c r="A80" s="16">
        <v>14014</v>
      </c>
      <c r="B80" s="16" t="str">
        <f>VLOOKUP(A80,'Reg Sheet'!A$2:F$357,6,FALSE)</f>
        <v>HS</v>
      </c>
      <c r="C80" s="4" t="s">
        <v>96</v>
      </c>
      <c r="D80" s="4" t="s">
        <v>83</v>
      </c>
      <c r="E80" s="4" t="str">
        <f>VLOOKUP(A80,'Reg Sheet'!A$2:G$357,7,FALSE)</f>
        <v>10th</v>
      </c>
      <c r="F80" s="5" t="s">
        <v>13</v>
      </c>
      <c r="G80" s="5">
        <f t="shared" ca="1" si="2"/>
        <v>545</v>
      </c>
      <c r="H80" s="5">
        <f t="shared" ca="1" si="3"/>
        <v>28</v>
      </c>
      <c r="I80" s="5">
        <v>282</v>
      </c>
      <c r="J80" s="5">
        <v>18</v>
      </c>
      <c r="K80" s="5">
        <f ca="1">VLOOKUP(A80,'Kealing Site'!$A$2:$E$338,5,FALSE)</f>
        <v>263</v>
      </c>
      <c r="L80" s="5">
        <f ca="1">VLOOKUP(A80,'Kealing Site'!$A$2:$F$338,6,FALSE)</f>
        <v>10</v>
      </c>
    </row>
    <row r="81" spans="1:12" hidden="1">
      <c r="A81" s="16">
        <v>14015</v>
      </c>
      <c r="B81" s="16" t="str">
        <f>VLOOKUP(A81,'Reg Sheet'!A$2:F$357,6,FALSE)</f>
        <v>HS</v>
      </c>
      <c r="C81" s="4" t="s">
        <v>97</v>
      </c>
      <c r="D81" s="4" t="s">
        <v>83</v>
      </c>
      <c r="E81" s="4" t="str">
        <f>VLOOKUP(A81,'Reg Sheet'!A$2:G$357,7,FALSE)</f>
        <v>10th</v>
      </c>
      <c r="F81" s="5" t="s">
        <v>13</v>
      </c>
      <c r="G81" s="5">
        <f t="shared" ca="1" si="2"/>
        <v>538</v>
      </c>
      <c r="H81" s="5">
        <f t="shared" ca="1" si="3"/>
        <v>16</v>
      </c>
      <c r="I81" s="5">
        <v>271</v>
      </c>
      <c r="J81" s="5">
        <v>9</v>
      </c>
      <c r="K81" s="5">
        <f ca="1">VLOOKUP(A81,'Kealing Site'!$A$2:$E$338,5,FALSE)</f>
        <v>267</v>
      </c>
      <c r="L81" s="5">
        <f ca="1">VLOOKUP(A81,'Kealing Site'!$A$2:$F$338,6,FALSE)</f>
        <v>7</v>
      </c>
    </row>
    <row r="82" spans="1:12" hidden="1">
      <c r="A82" s="16">
        <v>14016</v>
      </c>
      <c r="B82" s="16" t="str">
        <f>VLOOKUP(A82,'Reg Sheet'!A$2:F$357,6,FALSE)</f>
        <v>HS</v>
      </c>
      <c r="C82" s="4" t="s">
        <v>98</v>
      </c>
      <c r="D82" s="4" t="s">
        <v>83</v>
      </c>
      <c r="E82" s="4" t="str">
        <f>VLOOKUP(A82,'Reg Sheet'!A$2:G$357,7,FALSE)</f>
        <v>9th</v>
      </c>
      <c r="F82" s="5" t="s">
        <v>15</v>
      </c>
      <c r="G82" s="5">
        <f t="shared" ca="1" si="2"/>
        <v>558</v>
      </c>
      <c r="H82" s="5">
        <f t="shared" ca="1" si="3"/>
        <v>29</v>
      </c>
      <c r="I82" s="5">
        <v>283</v>
      </c>
      <c r="J82" s="5">
        <v>16</v>
      </c>
      <c r="K82" s="5">
        <f ca="1">VLOOKUP(A82,'Kealing Site'!$A$2:$E$338,5,FALSE)</f>
        <v>275</v>
      </c>
      <c r="L82" s="5">
        <f ca="1">VLOOKUP(A82,'Kealing Site'!$A$2:$F$338,6,FALSE)</f>
        <v>13</v>
      </c>
    </row>
    <row r="83" spans="1:12" hidden="1">
      <c r="A83" s="16">
        <v>14017</v>
      </c>
      <c r="B83" s="16" t="str">
        <f>VLOOKUP(A83,'Reg Sheet'!A$2:F$357,6,FALSE)</f>
        <v>HS</v>
      </c>
      <c r="C83" s="4" t="s">
        <v>99</v>
      </c>
      <c r="D83" s="4" t="s">
        <v>83</v>
      </c>
      <c r="E83" s="4" t="str">
        <f>VLOOKUP(A83,'Reg Sheet'!A$2:G$357,7,FALSE)</f>
        <v>12th</v>
      </c>
      <c r="F83" s="5" t="s">
        <v>15</v>
      </c>
      <c r="G83" s="5">
        <f t="shared" ca="1" si="2"/>
        <v>547</v>
      </c>
      <c r="H83" s="5">
        <f t="shared" ca="1" si="3"/>
        <v>23</v>
      </c>
      <c r="I83" s="5">
        <v>269</v>
      </c>
      <c r="J83" s="5">
        <v>9</v>
      </c>
      <c r="K83" s="5">
        <f ca="1">VLOOKUP(A83,'Kealing Site'!$A$2:$E$338,5,FALSE)</f>
        <v>278</v>
      </c>
      <c r="L83" s="5">
        <f ca="1">VLOOKUP(A83,'Kealing Site'!$A$2:$F$338,6,FALSE)</f>
        <v>14</v>
      </c>
    </row>
    <row r="84" spans="1:12" hidden="1">
      <c r="A84" s="16">
        <v>14018</v>
      </c>
      <c r="B84" s="16" t="str">
        <f>VLOOKUP(A84,'Reg Sheet'!A$2:F$357,6,FALSE)</f>
        <v>HS</v>
      </c>
      <c r="C84" s="4" t="s">
        <v>100</v>
      </c>
      <c r="D84" s="4" t="s">
        <v>83</v>
      </c>
      <c r="E84" s="4" t="str">
        <f>VLOOKUP(A84,'Reg Sheet'!A$2:G$357,7,FALSE)</f>
        <v>9th</v>
      </c>
      <c r="F84" s="5" t="s">
        <v>13</v>
      </c>
      <c r="G84" s="5" t="e">
        <f t="shared" ca="1" si="2"/>
        <v>#N/A</v>
      </c>
      <c r="H84" s="5" t="e">
        <f t="shared" ca="1" si="3"/>
        <v>#N/A</v>
      </c>
      <c r="I84" s="5">
        <v>231</v>
      </c>
      <c r="J84" s="5">
        <v>4</v>
      </c>
      <c r="K84" s="5" t="e">
        <f ca="1">VLOOKUP(A84,'Kealing Site'!$A$2:$E$338,5,FALSE)</f>
        <v>#N/A</v>
      </c>
      <c r="L84" s="5" t="e">
        <f ca="1">VLOOKUP(A84,'Kealing Site'!$A$2:$F$338,6,FALSE)</f>
        <v>#N/A</v>
      </c>
    </row>
    <row r="85" spans="1:12" hidden="1">
      <c r="A85" s="16">
        <v>14019</v>
      </c>
      <c r="B85" s="16" t="str">
        <f>VLOOKUP(A85,'Reg Sheet'!A$2:F$357,6,FALSE)</f>
        <v>HS</v>
      </c>
      <c r="C85" s="4" t="s">
        <v>101</v>
      </c>
      <c r="D85" s="4" t="s">
        <v>83</v>
      </c>
      <c r="E85" s="4" t="str">
        <f>VLOOKUP(A85,'Reg Sheet'!A$2:G$357,7,FALSE)</f>
        <v>9th</v>
      </c>
      <c r="F85" s="5" t="s">
        <v>13</v>
      </c>
      <c r="G85" s="5" t="e">
        <f t="shared" ca="1" si="2"/>
        <v>#N/A</v>
      </c>
      <c r="H85" s="5" t="e">
        <f t="shared" ca="1" si="3"/>
        <v>#N/A</v>
      </c>
      <c r="I85" s="5" t="e">
        <v>#N/A</v>
      </c>
      <c r="J85" s="5" t="e">
        <v>#N/A</v>
      </c>
      <c r="K85" s="5">
        <f ca="1">VLOOKUP(A85,'Kealing Site'!$A$2:$E$338,5,FALSE)</f>
        <v>238</v>
      </c>
      <c r="L85" s="5">
        <f ca="1">VLOOKUP(A85,'Kealing Site'!$A$2:$F$338,6,FALSE)</f>
        <v>7</v>
      </c>
    </row>
    <row r="86" spans="1:12" hidden="1">
      <c r="A86" s="16">
        <v>14020</v>
      </c>
      <c r="B86" s="16" t="str">
        <f>VLOOKUP(A86,'Reg Sheet'!A$2:F$357,6,FALSE)</f>
        <v>HS</v>
      </c>
      <c r="C86" s="4" t="s">
        <v>102</v>
      </c>
      <c r="D86" s="4" t="s">
        <v>83</v>
      </c>
      <c r="E86" s="4" t="str">
        <f>VLOOKUP(A86,'Reg Sheet'!A$2:G$357,7,FALSE)</f>
        <v>12th</v>
      </c>
      <c r="F86" s="5" t="s">
        <v>15</v>
      </c>
      <c r="G86" s="5" t="e">
        <f t="shared" ca="1" si="2"/>
        <v>#VALUE!</v>
      </c>
      <c r="H86" s="5" t="e">
        <f t="shared" ca="1" si="3"/>
        <v>#VALUE!</v>
      </c>
      <c r="I86" s="5">
        <v>252</v>
      </c>
      <c r="J86" s="5">
        <v>2</v>
      </c>
      <c r="K86" s="5" t="str">
        <f ca="1">VLOOKUP(A86,'Kealing Site'!$A$2:$E$338,5,FALSE)</f>
        <v>Posting</v>
      </c>
      <c r="L86" s="5" t="str">
        <f ca="1">VLOOKUP(A86,'Kealing Site'!$A$2:$F$338,6,FALSE)</f>
        <v>Posting</v>
      </c>
    </row>
    <row r="87" spans="1:12" hidden="1">
      <c r="A87" s="16">
        <v>14021</v>
      </c>
      <c r="B87" s="16" t="str">
        <f>VLOOKUP(A87,'Reg Sheet'!A$2:F$357,6,FALSE)</f>
        <v>HS</v>
      </c>
      <c r="C87" s="4" t="s">
        <v>103</v>
      </c>
      <c r="D87" s="4" t="s">
        <v>83</v>
      </c>
      <c r="E87" s="4" t="str">
        <f>VLOOKUP(A87,'Reg Sheet'!A$2:G$357,7,FALSE)</f>
        <v>10th</v>
      </c>
      <c r="F87" s="5" t="s">
        <v>13</v>
      </c>
      <c r="G87" s="5">
        <f t="shared" ca="1" si="2"/>
        <v>527</v>
      </c>
      <c r="H87" s="5">
        <f t="shared" ca="1" si="3"/>
        <v>16</v>
      </c>
      <c r="I87" s="5">
        <v>255</v>
      </c>
      <c r="J87" s="5">
        <v>6</v>
      </c>
      <c r="K87" s="5">
        <f ca="1">VLOOKUP(A87,'Kealing Site'!$A$2:$E$338,5,FALSE)</f>
        <v>272</v>
      </c>
      <c r="L87" s="5">
        <f ca="1">VLOOKUP(A87,'Kealing Site'!$A$2:$F$338,6,FALSE)</f>
        <v>10</v>
      </c>
    </row>
    <row r="88" spans="1:12" hidden="1">
      <c r="A88" s="16">
        <v>14022</v>
      </c>
      <c r="B88" s="16" t="str">
        <f>VLOOKUP(A88,'Reg Sheet'!A$2:F$357,6,FALSE)</f>
        <v>HS</v>
      </c>
      <c r="C88" s="4" t="s">
        <v>104</v>
      </c>
      <c r="D88" s="4" t="s">
        <v>83</v>
      </c>
      <c r="E88" s="4" t="str">
        <f>VLOOKUP(A88,'Reg Sheet'!A$2:G$357,7,FALSE)</f>
        <v>11th</v>
      </c>
      <c r="F88" s="5" t="s">
        <v>13</v>
      </c>
      <c r="G88" s="5">
        <f t="shared" ca="1" si="2"/>
        <v>484</v>
      </c>
      <c r="H88" s="5">
        <f t="shared" ca="1" si="3"/>
        <v>7</v>
      </c>
      <c r="I88" s="5">
        <v>245</v>
      </c>
      <c r="J88" s="5">
        <v>5</v>
      </c>
      <c r="K88" s="5">
        <f ca="1">VLOOKUP(A88,'Kealing Site'!$A$2:$E$338,5,FALSE)</f>
        <v>239</v>
      </c>
      <c r="L88" s="5">
        <f ca="1">VLOOKUP(A88,'Kealing Site'!$A$2:$F$338,6,FALSE)</f>
        <v>2</v>
      </c>
    </row>
    <row r="89" spans="1:12" hidden="1">
      <c r="A89" s="16">
        <v>14023</v>
      </c>
      <c r="B89" s="16" t="str">
        <f>VLOOKUP(A89,'Reg Sheet'!A$2:F$357,6,FALSE)</f>
        <v>HS</v>
      </c>
      <c r="C89" s="4" t="s">
        <v>105</v>
      </c>
      <c r="D89" s="4" t="s">
        <v>83</v>
      </c>
      <c r="E89" s="4" t="str">
        <f>VLOOKUP(A89,'Reg Sheet'!A$2:G$357,7,FALSE)</f>
        <v>10th</v>
      </c>
      <c r="F89" s="5" t="s">
        <v>13</v>
      </c>
      <c r="G89" s="5">
        <f t="shared" ca="1" si="2"/>
        <v>452</v>
      </c>
      <c r="H89" s="5">
        <f t="shared" ca="1" si="3"/>
        <v>4</v>
      </c>
      <c r="I89" s="5">
        <v>222</v>
      </c>
      <c r="J89" s="5">
        <v>1</v>
      </c>
      <c r="K89" s="5">
        <f ca="1">VLOOKUP(A89,'Kealing Site'!$A$2:$E$338,5,FALSE)</f>
        <v>230</v>
      </c>
      <c r="L89" s="5">
        <f ca="1">VLOOKUP(A89,'Kealing Site'!$A$2:$F$338,6,FALSE)</f>
        <v>3</v>
      </c>
    </row>
    <row r="90" spans="1:12" hidden="1">
      <c r="A90" s="16">
        <v>14024</v>
      </c>
      <c r="B90" s="16" t="str">
        <f>VLOOKUP(A90,'Reg Sheet'!A$2:F$357,6,FALSE)</f>
        <v>HS</v>
      </c>
      <c r="C90" s="4" t="s">
        <v>106</v>
      </c>
      <c r="D90" s="4" t="s">
        <v>83</v>
      </c>
      <c r="E90" s="4" t="str">
        <f>VLOOKUP(A90,'Reg Sheet'!A$2:G$357,7,FALSE)</f>
        <v>9th</v>
      </c>
      <c r="F90" s="5" t="s">
        <v>13</v>
      </c>
      <c r="G90" s="5">
        <f t="shared" ca="1" si="2"/>
        <v>535</v>
      </c>
      <c r="H90" s="5">
        <f t="shared" ca="1" si="3"/>
        <v>19</v>
      </c>
      <c r="I90" s="5">
        <v>266</v>
      </c>
      <c r="J90" s="5">
        <v>11</v>
      </c>
      <c r="K90" s="5">
        <f ca="1">VLOOKUP(A90,'Kealing Site'!$A$2:$E$338,5,FALSE)</f>
        <v>269</v>
      </c>
      <c r="L90" s="5">
        <f ca="1">VLOOKUP(A90,'Kealing Site'!$A$2:$F$338,6,FALSE)</f>
        <v>8</v>
      </c>
    </row>
    <row r="91" spans="1:12" hidden="1">
      <c r="A91" s="16">
        <v>14025</v>
      </c>
      <c r="B91" s="16" t="str">
        <f>VLOOKUP(A91,'Reg Sheet'!A$2:F$357,6,FALSE)</f>
        <v>HS</v>
      </c>
      <c r="C91" s="4" t="s">
        <v>107</v>
      </c>
      <c r="D91" s="4" t="s">
        <v>83</v>
      </c>
      <c r="E91" s="4" t="str">
        <f>VLOOKUP(A91,'Reg Sheet'!A$2:G$357,7,FALSE)</f>
        <v>10th</v>
      </c>
      <c r="F91" s="5" t="s">
        <v>15</v>
      </c>
      <c r="G91" s="5">
        <f t="shared" ca="1" si="2"/>
        <v>541</v>
      </c>
      <c r="H91" s="5">
        <f t="shared" ca="1" si="3"/>
        <v>21</v>
      </c>
      <c r="I91" s="5">
        <v>269</v>
      </c>
      <c r="J91" s="5">
        <v>9</v>
      </c>
      <c r="K91" s="5">
        <f ca="1">VLOOKUP(A91,'Kealing Site'!$A$2:$E$338,5,FALSE)</f>
        <v>272</v>
      </c>
      <c r="L91" s="5">
        <f ca="1">VLOOKUP(A91,'Kealing Site'!$A$2:$F$338,6,FALSE)</f>
        <v>12</v>
      </c>
    </row>
    <row r="92" spans="1:12" hidden="1">
      <c r="A92" s="16">
        <v>14026</v>
      </c>
      <c r="B92" s="16" t="str">
        <f>VLOOKUP(A92,'Reg Sheet'!A$2:F$357,6,FALSE)</f>
        <v>HS</v>
      </c>
      <c r="C92" s="4" t="s">
        <v>108</v>
      </c>
      <c r="D92" s="4" t="s">
        <v>83</v>
      </c>
      <c r="E92" s="4" t="str">
        <f>VLOOKUP(A92,'Reg Sheet'!A$2:G$357,7,FALSE)</f>
        <v>10th</v>
      </c>
      <c r="F92" s="5" t="s">
        <v>15</v>
      </c>
      <c r="G92" s="5">
        <f t="shared" ca="1" si="2"/>
        <v>553</v>
      </c>
      <c r="H92" s="5">
        <f t="shared" ca="1" si="3"/>
        <v>28</v>
      </c>
      <c r="I92" s="5">
        <v>280</v>
      </c>
      <c r="J92" s="5">
        <v>17</v>
      </c>
      <c r="K92" s="5">
        <f ca="1">VLOOKUP(A92,'Kealing Site'!$A$2:$E$338,5,FALSE)</f>
        <v>273</v>
      </c>
      <c r="L92" s="5">
        <f ca="1">VLOOKUP(A92,'Kealing Site'!$A$2:$F$338,6,FALSE)</f>
        <v>11</v>
      </c>
    </row>
    <row r="93" spans="1:12" hidden="1">
      <c r="A93" s="16">
        <v>14027</v>
      </c>
      <c r="B93" s="16" t="str">
        <f>VLOOKUP(A93,'Reg Sheet'!A$2:F$357,6,FALSE)</f>
        <v>HS</v>
      </c>
      <c r="C93" s="4" t="s">
        <v>109</v>
      </c>
      <c r="D93" s="4" t="s">
        <v>83</v>
      </c>
      <c r="E93" s="4" t="str">
        <f>VLOOKUP(A93,'Reg Sheet'!A$2:G$357,7,FALSE)</f>
        <v>9th</v>
      </c>
      <c r="F93" s="5" t="s">
        <v>13</v>
      </c>
      <c r="G93" s="5">
        <f t="shared" ca="1" si="2"/>
        <v>439</v>
      </c>
      <c r="H93" s="5">
        <f t="shared" ca="1" si="3"/>
        <v>7</v>
      </c>
      <c r="I93" s="5">
        <v>208</v>
      </c>
      <c r="J93" s="5">
        <v>1</v>
      </c>
      <c r="K93" s="5">
        <f ca="1">VLOOKUP(A93,'Kealing Site'!$A$2:$E$338,5,FALSE)</f>
        <v>231</v>
      </c>
      <c r="L93" s="5">
        <f ca="1">VLOOKUP(A93,'Kealing Site'!$A$2:$F$338,6,FALSE)</f>
        <v>6</v>
      </c>
    </row>
    <row r="94" spans="1:12" hidden="1">
      <c r="A94" s="16">
        <v>14028</v>
      </c>
      <c r="B94" s="16" t="str">
        <f>VLOOKUP(A94,'Reg Sheet'!A$2:F$357,6,FALSE)</f>
        <v>HS</v>
      </c>
      <c r="C94" s="4" t="s">
        <v>110</v>
      </c>
      <c r="D94" s="4" t="s">
        <v>83</v>
      </c>
      <c r="E94" s="4" t="str">
        <f>VLOOKUP(A94,'Reg Sheet'!A$2:G$357,7,FALSE)</f>
        <v>10th</v>
      </c>
      <c r="F94" s="5" t="s">
        <v>13</v>
      </c>
      <c r="G94" s="5">
        <f t="shared" ca="1" si="2"/>
        <v>448</v>
      </c>
      <c r="H94" s="5">
        <f t="shared" ca="1" si="3"/>
        <v>8</v>
      </c>
      <c r="I94" s="5">
        <v>219</v>
      </c>
      <c r="J94" s="5">
        <v>6</v>
      </c>
      <c r="K94" s="5">
        <f ca="1">VLOOKUP(A94,'Kealing Site'!$A$2:$E$338,5,FALSE)</f>
        <v>229</v>
      </c>
      <c r="L94" s="5">
        <f ca="1">VLOOKUP(A94,'Kealing Site'!$A$2:$F$338,6,FALSE)</f>
        <v>2</v>
      </c>
    </row>
    <row r="95" spans="1:12" hidden="1">
      <c r="A95" s="16">
        <v>14029</v>
      </c>
      <c r="B95" s="16" t="str">
        <f>VLOOKUP(A95,'Reg Sheet'!A$2:F$357,6,FALSE)</f>
        <v>HS</v>
      </c>
      <c r="C95" s="4" t="s">
        <v>111</v>
      </c>
      <c r="D95" s="4" t="s">
        <v>83</v>
      </c>
      <c r="E95" s="4" t="str">
        <f>VLOOKUP(A95,'Reg Sheet'!A$2:G$357,7,FALSE)</f>
        <v>11th</v>
      </c>
      <c r="F95" s="5" t="s">
        <v>13</v>
      </c>
      <c r="G95" s="5">
        <f t="shared" ca="1" si="2"/>
        <v>539</v>
      </c>
      <c r="H95" s="5">
        <f t="shared" ca="1" si="3"/>
        <v>18</v>
      </c>
      <c r="I95" s="5">
        <v>271</v>
      </c>
      <c r="J95" s="5">
        <v>10</v>
      </c>
      <c r="K95" s="5">
        <f ca="1">VLOOKUP(A95,'Kealing Site'!$A$2:$E$338,5,FALSE)</f>
        <v>268</v>
      </c>
      <c r="L95" s="5">
        <f ca="1">VLOOKUP(A95,'Kealing Site'!$A$2:$F$338,6,FALSE)</f>
        <v>8</v>
      </c>
    </row>
    <row r="96" spans="1:12" hidden="1">
      <c r="A96" s="16">
        <v>14030</v>
      </c>
      <c r="B96" s="16" t="str">
        <f>VLOOKUP(A96,'Reg Sheet'!A$2:F$357,6,FALSE)</f>
        <v>HS</v>
      </c>
      <c r="C96" s="4" t="s">
        <v>112</v>
      </c>
      <c r="D96" s="4" t="s">
        <v>83</v>
      </c>
      <c r="E96" s="4" t="str">
        <f>VLOOKUP(A96,'Reg Sheet'!A$2:G$357,7,FALSE)</f>
        <v>11th</v>
      </c>
      <c r="F96" s="5" t="s">
        <v>13</v>
      </c>
      <c r="G96" s="5" t="e">
        <f t="shared" ca="1" si="2"/>
        <v>#N/A</v>
      </c>
      <c r="H96" s="5" t="e">
        <f t="shared" ca="1" si="3"/>
        <v>#N/A</v>
      </c>
      <c r="I96" s="5" t="e">
        <v>#N/A</v>
      </c>
      <c r="J96" s="5" t="e">
        <v>#N/A</v>
      </c>
      <c r="K96" s="5">
        <f ca="1">VLOOKUP(A96,'Kealing Site'!$A$2:$E$338,5,FALSE)</f>
        <v>247</v>
      </c>
      <c r="L96" s="5">
        <f ca="1">VLOOKUP(A96,'Kealing Site'!$A$2:$F$338,6,FALSE)</f>
        <v>5</v>
      </c>
    </row>
    <row r="97" spans="1:12" hidden="1">
      <c r="A97" s="16">
        <v>14031</v>
      </c>
      <c r="B97" s="16" t="str">
        <f>VLOOKUP(A97,'Reg Sheet'!A$2:F$357,6,FALSE)</f>
        <v>HS</v>
      </c>
      <c r="C97" s="4" t="s">
        <v>113</v>
      </c>
      <c r="D97" s="4" t="s">
        <v>83</v>
      </c>
      <c r="E97" s="4" t="str">
        <f>VLOOKUP(A97,'Reg Sheet'!A$2:G$357,7,FALSE)</f>
        <v>9th</v>
      </c>
      <c r="F97" s="5" t="s">
        <v>15</v>
      </c>
      <c r="G97" s="5">
        <f t="shared" ca="1" si="2"/>
        <v>564</v>
      </c>
      <c r="H97" s="5">
        <f t="shared" ca="1" si="3"/>
        <v>32</v>
      </c>
      <c r="I97" s="5">
        <v>279</v>
      </c>
      <c r="J97" s="5">
        <v>15</v>
      </c>
      <c r="K97" s="5">
        <f ca="1">VLOOKUP(A97,'Kealing Site'!$A$2:$E$338,5,FALSE)</f>
        <v>285</v>
      </c>
      <c r="L97" s="5">
        <f ca="1">VLOOKUP(A97,'Kealing Site'!$A$2:$F$338,6,FALSE)</f>
        <v>17</v>
      </c>
    </row>
    <row r="98" spans="1:12" hidden="1">
      <c r="A98" s="16">
        <v>14032</v>
      </c>
      <c r="B98" s="16" t="str">
        <f>VLOOKUP(A98,'Reg Sheet'!A$2:F$357,6,FALSE)</f>
        <v>HS</v>
      </c>
      <c r="C98" s="4" t="s">
        <v>114</v>
      </c>
      <c r="D98" s="4" t="s">
        <v>83</v>
      </c>
      <c r="E98" s="4" t="str">
        <f>VLOOKUP(A98,'Reg Sheet'!A$2:G$357,7,FALSE)</f>
        <v>9th</v>
      </c>
      <c r="F98" s="5" t="s">
        <v>15</v>
      </c>
      <c r="G98" s="5">
        <f t="shared" ca="1" si="2"/>
        <v>456</v>
      </c>
      <c r="H98" s="5">
        <f t="shared" ca="1" si="3"/>
        <v>8</v>
      </c>
      <c r="I98" s="5">
        <v>238</v>
      </c>
      <c r="J98" s="5">
        <v>4</v>
      </c>
      <c r="K98" s="5">
        <f ca="1">VLOOKUP(A98,'Kealing Site'!$A$2:$E$338,5,FALSE)</f>
        <v>218</v>
      </c>
      <c r="L98" s="5">
        <f ca="1">VLOOKUP(A98,'Kealing Site'!$A$2:$F$338,6,FALSE)</f>
        <v>4</v>
      </c>
    </row>
    <row r="99" spans="1:12" hidden="1">
      <c r="A99" s="16">
        <v>14033</v>
      </c>
      <c r="B99" s="16" t="str">
        <f>VLOOKUP(A99,'Reg Sheet'!A$2:F$357,6,FALSE)</f>
        <v>HS</v>
      </c>
      <c r="C99" s="4" t="s">
        <v>115</v>
      </c>
      <c r="D99" s="4" t="s">
        <v>83</v>
      </c>
      <c r="E99" s="4" t="str">
        <f>VLOOKUP(A99,'Reg Sheet'!A$2:G$357,7,FALSE)</f>
        <v>11th</v>
      </c>
      <c r="F99" s="5" t="s">
        <v>13</v>
      </c>
      <c r="G99" s="5">
        <f t="shared" ca="1" si="2"/>
        <v>465</v>
      </c>
      <c r="H99" s="5">
        <f t="shared" ca="1" si="3"/>
        <v>7</v>
      </c>
      <c r="I99" s="5">
        <v>234</v>
      </c>
      <c r="J99" s="5">
        <v>6</v>
      </c>
      <c r="K99" s="5">
        <f ca="1">VLOOKUP(A99,'Kealing Site'!$A$2:$E$338,5,FALSE)</f>
        <v>231</v>
      </c>
      <c r="L99" s="5">
        <f ca="1">VLOOKUP(A99,'Kealing Site'!$A$2:$F$338,6,FALSE)</f>
        <v>1</v>
      </c>
    </row>
    <row r="100" spans="1:12" hidden="1">
      <c r="A100" s="16">
        <v>14034</v>
      </c>
      <c r="B100" s="16" t="str">
        <f>VLOOKUP(A100,'Reg Sheet'!A$2:F$357,6,FALSE)</f>
        <v>HS</v>
      </c>
      <c r="C100" s="4" t="s">
        <v>116</v>
      </c>
      <c r="D100" s="4" t="s">
        <v>83</v>
      </c>
      <c r="E100" s="4" t="str">
        <f>VLOOKUP(A100,'Reg Sheet'!A$2:G$357,7,FALSE)</f>
        <v>10th</v>
      </c>
      <c r="F100" s="5" t="s">
        <v>13</v>
      </c>
      <c r="G100" s="5">
        <f t="shared" ca="1" si="2"/>
        <v>550</v>
      </c>
      <c r="H100" s="5">
        <f t="shared" ca="1" si="3"/>
        <v>29</v>
      </c>
      <c r="I100" s="5">
        <v>270</v>
      </c>
      <c r="J100" s="5">
        <v>13</v>
      </c>
      <c r="K100" s="5">
        <f ca="1">VLOOKUP(A100,'Kealing Site'!$A$2:$E$338,5,FALSE)</f>
        <v>280</v>
      </c>
      <c r="L100" s="5">
        <f ca="1">VLOOKUP(A100,'Kealing Site'!$A$2:$F$338,6,FALSE)</f>
        <v>16</v>
      </c>
    </row>
    <row r="101" spans="1:12" hidden="1">
      <c r="A101" s="16">
        <v>14035</v>
      </c>
      <c r="B101" s="16" t="str">
        <f>VLOOKUP(A101,'Reg Sheet'!A$2:F$357,6,FALSE)</f>
        <v>HS</v>
      </c>
      <c r="C101" s="4" t="s">
        <v>117</v>
      </c>
      <c r="D101" s="4" t="s">
        <v>83</v>
      </c>
      <c r="E101" s="4" t="str">
        <f>VLOOKUP(A101,'Reg Sheet'!A$2:G$357,7,FALSE)</f>
        <v>11th</v>
      </c>
      <c r="F101" s="5" t="s">
        <v>13</v>
      </c>
      <c r="G101" s="5">
        <f t="shared" ca="1" si="2"/>
        <v>493</v>
      </c>
      <c r="H101" s="5">
        <f t="shared" ca="1" si="3"/>
        <v>8</v>
      </c>
      <c r="I101" s="5">
        <v>245</v>
      </c>
      <c r="J101" s="5">
        <v>2</v>
      </c>
      <c r="K101" s="5">
        <f ca="1">VLOOKUP(A101,'Kealing Site'!$A$2:$E$338,5,FALSE)</f>
        <v>248</v>
      </c>
      <c r="L101" s="5">
        <f ca="1">VLOOKUP(A101,'Kealing Site'!$A$2:$F$338,6,FALSE)</f>
        <v>6</v>
      </c>
    </row>
    <row r="102" spans="1:12" hidden="1">
      <c r="A102" s="16">
        <v>15001</v>
      </c>
      <c r="B102" s="16" t="str">
        <f>VLOOKUP(A102,'Reg Sheet'!A$2:F$357,6,FALSE)</f>
        <v>MS</v>
      </c>
      <c r="C102" s="4" t="s">
        <v>118</v>
      </c>
      <c r="D102" s="4" t="s">
        <v>119</v>
      </c>
      <c r="E102" s="4" t="str">
        <f>VLOOKUP(A102,'Reg Sheet'!A$2:G$357,7,FALSE)</f>
        <v>5th</v>
      </c>
      <c r="F102" s="5" t="s">
        <v>13</v>
      </c>
      <c r="G102" s="5">
        <f t="shared" ca="1" si="2"/>
        <v>492</v>
      </c>
      <c r="H102" s="5">
        <f t="shared" ca="1" si="3"/>
        <v>9</v>
      </c>
      <c r="I102" s="5">
        <v>249</v>
      </c>
      <c r="J102" s="5">
        <v>5</v>
      </c>
      <c r="K102" s="5">
        <f ca="1">VLOOKUP(A102,'Kealing Site'!$A$2:$E$338,5,FALSE)</f>
        <v>243</v>
      </c>
      <c r="L102" s="5">
        <f ca="1">VLOOKUP(A102,'Kealing Site'!$A$2:$F$338,6,FALSE)</f>
        <v>4</v>
      </c>
    </row>
    <row r="103" spans="1:12" hidden="1">
      <c r="A103" s="16">
        <v>15002</v>
      </c>
      <c r="B103" s="16" t="str">
        <f>VLOOKUP(A103,'Reg Sheet'!A$2:F$357,6,FALSE)</f>
        <v>MS</v>
      </c>
      <c r="C103" s="4" t="s">
        <v>120</v>
      </c>
      <c r="D103" s="4" t="s">
        <v>119</v>
      </c>
      <c r="E103" s="4" t="str">
        <f>VLOOKUP(A103,'Reg Sheet'!A$2:G$357,7,FALSE)</f>
        <v>6th</v>
      </c>
      <c r="F103" s="5" t="s">
        <v>15</v>
      </c>
      <c r="G103" s="5">
        <f t="shared" ca="1" si="2"/>
        <v>463</v>
      </c>
      <c r="H103" s="5">
        <f t="shared" ca="1" si="3"/>
        <v>3</v>
      </c>
      <c r="I103" s="5">
        <v>229</v>
      </c>
      <c r="J103" s="5">
        <v>1</v>
      </c>
      <c r="K103" s="5">
        <f ca="1">VLOOKUP(A103,'Kealing Site'!$A$2:$E$338,5,FALSE)</f>
        <v>234</v>
      </c>
      <c r="L103" s="5">
        <f ca="1">VLOOKUP(A103,'Kealing Site'!$A$2:$F$338,6,FALSE)</f>
        <v>2</v>
      </c>
    </row>
    <row r="104" spans="1:12" hidden="1">
      <c r="A104" s="16">
        <v>15003</v>
      </c>
      <c r="B104" s="16" t="str">
        <f>VLOOKUP(A104,'Reg Sheet'!A$2:F$357,6,FALSE)</f>
        <v>MS</v>
      </c>
      <c r="C104" s="4" t="s">
        <v>121</v>
      </c>
      <c r="D104" s="4" t="s">
        <v>119</v>
      </c>
      <c r="E104" s="4" t="str">
        <f>VLOOKUP(A104,'Reg Sheet'!A$2:G$357,7,FALSE)</f>
        <v>6th</v>
      </c>
      <c r="F104" s="5" t="s">
        <v>13</v>
      </c>
      <c r="G104" s="5">
        <f t="shared" ca="1" si="2"/>
        <v>532</v>
      </c>
      <c r="H104" s="5">
        <f t="shared" ca="1" si="3"/>
        <v>16</v>
      </c>
      <c r="I104" s="5">
        <v>275</v>
      </c>
      <c r="J104" s="5">
        <v>10</v>
      </c>
      <c r="K104" s="5">
        <f ca="1">VLOOKUP(A104,'Kealing Site'!$A$2:$E$338,5,FALSE)</f>
        <v>257</v>
      </c>
      <c r="L104" s="5">
        <f ca="1">VLOOKUP(A104,'Kealing Site'!$A$2:$F$338,6,FALSE)</f>
        <v>6</v>
      </c>
    </row>
    <row r="105" spans="1:12" hidden="1">
      <c r="A105" s="16">
        <v>15004</v>
      </c>
      <c r="B105" s="16" t="str">
        <f>VLOOKUP(A105,'Reg Sheet'!A$2:F$357,6,FALSE)</f>
        <v>MS</v>
      </c>
      <c r="C105" s="4" t="s">
        <v>122</v>
      </c>
      <c r="D105" s="4" t="s">
        <v>119</v>
      </c>
      <c r="E105" s="4" t="str">
        <f>VLOOKUP(A105,'Reg Sheet'!A$2:G$357,7,FALSE)</f>
        <v>7th</v>
      </c>
      <c r="F105" s="5" t="s">
        <v>15</v>
      </c>
      <c r="G105" s="5">
        <f t="shared" ca="1" si="2"/>
        <v>542</v>
      </c>
      <c r="H105" s="5">
        <f t="shared" ca="1" si="3"/>
        <v>18</v>
      </c>
      <c r="I105" s="5">
        <v>275</v>
      </c>
      <c r="J105" s="5">
        <v>13</v>
      </c>
      <c r="K105" s="5">
        <f ca="1">VLOOKUP(A105,'Kealing Site'!$A$2:$E$338,5,FALSE)</f>
        <v>267</v>
      </c>
      <c r="L105" s="5">
        <f ca="1">VLOOKUP(A105,'Kealing Site'!$A$2:$F$338,6,FALSE)</f>
        <v>5</v>
      </c>
    </row>
    <row r="106" spans="1:12" hidden="1">
      <c r="A106" s="16">
        <v>15005</v>
      </c>
      <c r="B106" s="16" t="str">
        <f>VLOOKUP(A106,'Reg Sheet'!A$2:F$357,6,FALSE)</f>
        <v>MS</v>
      </c>
      <c r="C106" s="4" t="s">
        <v>123</v>
      </c>
      <c r="D106" s="4" t="s">
        <v>119</v>
      </c>
      <c r="E106" s="4" t="str">
        <f>VLOOKUP(A106,'Reg Sheet'!A$2:G$357,7,FALSE)</f>
        <v>5th</v>
      </c>
      <c r="F106" s="5" t="s">
        <v>15</v>
      </c>
      <c r="G106" s="5" t="e">
        <f t="shared" ca="1" si="2"/>
        <v>#N/A</v>
      </c>
      <c r="H106" s="5" t="e">
        <f t="shared" ca="1" si="3"/>
        <v>#N/A</v>
      </c>
      <c r="I106" s="5">
        <v>190</v>
      </c>
      <c r="J106" s="5">
        <v>1</v>
      </c>
      <c r="K106" s="5" t="e">
        <f ca="1">VLOOKUP(A106,'Kealing Site'!$A$2:$E$338,5,FALSE)</f>
        <v>#N/A</v>
      </c>
      <c r="L106" s="5" t="e">
        <f ca="1">VLOOKUP(A106,'Kealing Site'!$A$2:$F$338,6,FALSE)</f>
        <v>#N/A</v>
      </c>
    </row>
    <row r="107" spans="1:12" hidden="1">
      <c r="A107" s="16">
        <v>15006</v>
      </c>
      <c r="B107" s="16" t="str">
        <f>VLOOKUP(A107,'Reg Sheet'!A$2:F$357,6,FALSE)</f>
        <v>MS</v>
      </c>
      <c r="C107" s="4" t="s">
        <v>124</v>
      </c>
      <c r="D107" s="4" t="s">
        <v>119</v>
      </c>
      <c r="E107" s="4" t="str">
        <f>VLOOKUP(A107,'Reg Sheet'!A$2:G$357,7,FALSE)</f>
        <v>6th</v>
      </c>
      <c r="F107" s="5" t="s">
        <v>13</v>
      </c>
      <c r="G107" s="5">
        <f t="shared" ca="1" si="2"/>
        <v>327</v>
      </c>
      <c r="H107" s="5">
        <f t="shared" ca="1" si="3"/>
        <v>1</v>
      </c>
      <c r="I107" s="5">
        <v>167</v>
      </c>
      <c r="J107" s="5">
        <v>0</v>
      </c>
      <c r="K107" s="5">
        <f ca="1">VLOOKUP(A107,'Kealing Site'!$A$2:$E$338,5,FALSE)</f>
        <v>160</v>
      </c>
      <c r="L107" s="5">
        <f ca="1">VLOOKUP(A107,'Kealing Site'!$A$2:$F$338,6,FALSE)</f>
        <v>1</v>
      </c>
    </row>
    <row r="108" spans="1:12" hidden="1">
      <c r="A108" s="16">
        <v>15007</v>
      </c>
      <c r="B108" s="16" t="str">
        <f>VLOOKUP(A108,'Reg Sheet'!A$2:F$357,6,FALSE)</f>
        <v>MS</v>
      </c>
      <c r="C108" s="4" t="s">
        <v>125</v>
      </c>
      <c r="D108" s="4" t="s">
        <v>119</v>
      </c>
      <c r="E108" s="4" t="str">
        <f>VLOOKUP(A108,'Reg Sheet'!A$2:G$357,7,FALSE)</f>
        <v>6th</v>
      </c>
      <c r="F108" s="5" t="s">
        <v>15</v>
      </c>
      <c r="G108" s="5">
        <f t="shared" ca="1" si="2"/>
        <v>385</v>
      </c>
      <c r="H108" s="5">
        <f t="shared" ca="1" si="3"/>
        <v>6</v>
      </c>
      <c r="I108" s="5">
        <v>221</v>
      </c>
      <c r="J108" s="5">
        <v>5</v>
      </c>
      <c r="K108" s="5">
        <f ca="1">VLOOKUP(A108,'Kealing Site'!$A$2:$E$338,5,FALSE)</f>
        <v>164</v>
      </c>
      <c r="L108" s="5">
        <f ca="1">VLOOKUP(A108,'Kealing Site'!$A$2:$F$338,6,FALSE)</f>
        <v>1</v>
      </c>
    </row>
    <row r="109" spans="1:12" hidden="1">
      <c r="A109" s="16">
        <v>15008</v>
      </c>
      <c r="B109" s="16" t="str">
        <f>VLOOKUP(A109,'Reg Sheet'!A$2:F$357,6,FALSE)</f>
        <v>MS</v>
      </c>
      <c r="C109" s="4" t="s">
        <v>126</v>
      </c>
      <c r="D109" s="4" t="s">
        <v>119</v>
      </c>
      <c r="E109" s="4" t="str">
        <f>VLOOKUP(A109,'Reg Sheet'!A$2:G$357,7,FALSE)</f>
        <v>5th</v>
      </c>
      <c r="F109" s="5" t="s">
        <v>13</v>
      </c>
      <c r="G109" s="5">
        <f t="shared" ca="1" si="2"/>
        <v>552</v>
      </c>
      <c r="H109" s="5">
        <f t="shared" ca="1" si="3"/>
        <v>26</v>
      </c>
      <c r="I109" s="5">
        <v>281</v>
      </c>
      <c r="J109" s="5">
        <v>17</v>
      </c>
      <c r="K109" s="5">
        <f ca="1">VLOOKUP(A109,'Kealing Site'!$A$2:$E$338,5,FALSE)</f>
        <v>271</v>
      </c>
      <c r="L109" s="5">
        <f ca="1">VLOOKUP(A109,'Kealing Site'!$A$2:$F$338,6,FALSE)</f>
        <v>9</v>
      </c>
    </row>
    <row r="110" spans="1:12" hidden="1">
      <c r="A110" s="16">
        <v>20001</v>
      </c>
      <c r="B110" s="16" t="str">
        <f>VLOOKUP(A110,'Reg Sheet'!A$2:F$357,6,FALSE)</f>
        <v>MS</v>
      </c>
      <c r="C110" s="4" t="s">
        <v>127</v>
      </c>
      <c r="D110" s="4" t="s">
        <v>128</v>
      </c>
      <c r="E110" s="4" t="str">
        <f>VLOOKUP(A110,'Reg Sheet'!A$2:G$357,7,FALSE)</f>
        <v>6th</v>
      </c>
      <c r="F110" s="5" t="s">
        <v>15</v>
      </c>
      <c r="G110" s="5" t="e">
        <f t="shared" ca="1" si="2"/>
        <v>#N/A</v>
      </c>
      <c r="H110" s="5" t="e">
        <f t="shared" ca="1" si="3"/>
        <v>#N/A</v>
      </c>
      <c r="I110" s="5" t="e">
        <v>#N/A</v>
      </c>
      <c r="J110" s="5" t="e">
        <v>#N/A</v>
      </c>
      <c r="K110" s="5" t="str">
        <f ca="1">VLOOKUP(A110,'Kealing Site'!$A$2:$E$338,5,FALSE)</f>
        <v>Posting</v>
      </c>
      <c r="L110" s="5" t="str">
        <f ca="1">VLOOKUP(A110,'Kealing Site'!$A$2:$F$338,6,FALSE)</f>
        <v>Posting</v>
      </c>
    </row>
    <row r="111" spans="1:12" hidden="1">
      <c r="A111" s="16">
        <v>20002</v>
      </c>
      <c r="B111" s="16" t="str">
        <f>VLOOKUP(A111,'Reg Sheet'!A$2:F$357,6,FALSE)</f>
        <v>MS</v>
      </c>
      <c r="C111" s="4" t="s">
        <v>129</v>
      </c>
      <c r="D111" s="4" t="s">
        <v>128</v>
      </c>
      <c r="E111" s="4" t="str">
        <f>VLOOKUP(A111,'Reg Sheet'!A$2:G$357,7,FALSE)</f>
        <v>6th</v>
      </c>
      <c r="F111" s="5" t="s">
        <v>15</v>
      </c>
      <c r="G111" s="5">
        <f t="shared" ca="1" si="2"/>
        <v>408</v>
      </c>
      <c r="H111" s="5">
        <f t="shared" ca="1" si="3"/>
        <v>4</v>
      </c>
      <c r="I111" s="5">
        <v>189</v>
      </c>
      <c r="J111" s="5">
        <v>4</v>
      </c>
      <c r="K111" s="5">
        <f ca="1">VLOOKUP(A111,'Kealing Site'!$A$2:$E$338,5,FALSE)</f>
        <v>219</v>
      </c>
      <c r="L111" s="5">
        <f ca="1">VLOOKUP(A111,'Kealing Site'!$A$2:$F$338,6,FALSE)</f>
        <v>0</v>
      </c>
    </row>
    <row r="112" spans="1:12" hidden="1">
      <c r="A112" s="16">
        <v>20003</v>
      </c>
      <c r="B112" s="16" t="str">
        <f>VLOOKUP(A112,'Reg Sheet'!A$2:F$357,6,FALSE)</f>
        <v>MS</v>
      </c>
      <c r="C112" s="4" t="s">
        <v>130</v>
      </c>
      <c r="D112" s="4" t="s">
        <v>128</v>
      </c>
      <c r="E112" s="4" t="str">
        <f>VLOOKUP(A112,'Reg Sheet'!A$2:G$357,7,FALSE)</f>
        <v>8th</v>
      </c>
      <c r="F112" s="5" t="s">
        <v>15</v>
      </c>
      <c r="G112" s="5">
        <f t="shared" ca="1" si="2"/>
        <v>497</v>
      </c>
      <c r="H112" s="5">
        <f t="shared" ca="1" si="3"/>
        <v>10</v>
      </c>
      <c r="I112" s="5">
        <v>251</v>
      </c>
      <c r="J112" s="5">
        <v>6</v>
      </c>
      <c r="K112" s="5">
        <f ca="1">VLOOKUP(A112,'Kealing Site'!$A$2:$E$338,5,FALSE)</f>
        <v>246</v>
      </c>
      <c r="L112" s="5">
        <f ca="1">VLOOKUP(A112,'Kealing Site'!$A$2:$F$338,6,FALSE)</f>
        <v>4</v>
      </c>
    </row>
    <row r="113" spans="1:12" hidden="1">
      <c r="A113" s="16">
        <v>20004</v>
      </c>
      <c r="B113" s="16" t="str">
        <f>VLOOKUP(A113,'Reg Sheet'!A$2:F$357,6,FALSE)</f>
        <v>MS</v>
      </c>
      <c r="C113" s="4" t="s">
        <v>131</v>
      </c>
      <c r="D113" s="4" t="s">
        <v>128</v>
      </c>
      <c r="E113" s="4" t="str">
        <f>VLOOKUP(A113,'Reg Sheet'!A$2:G$357,7,FALSE)</f>
        <v>6th</v>
      </c>
      <c r="F113" s="5" t="s">
        <v>15</v>
      </c>
      <c r="G113" s="5">
        <f t="shared" ca="1" si="2"/>
        <v>495</v>
      </c>
      <c r="H113" s="5">
        <f t="shared" ca="1" si="3"/>
        <v>13</v>
      </c>
      <c r="I113" s="5">
        <v>256</v>
      </c>
      <c r="J113" s="5">
        <v>7</v>
      </c>
      <c r="K113" s="5">
        <f ca="1">VLOOKUP(A113,'Kealing Site'!$A$2:$E$338,5,FALSE)</f>
        <v>239</v>
      </c>
      <c r="L113" s="5">
        <f ca="1">VLOOKUP(A113,'Kealing Site'!$A$2:$F$338,6,FALSE)</f>
        <v>6</v>
      </c>
    </row>
    <row r="114" spans="1:12" hidden="1">
      <c r="A114" s="16">
        <v>20005</v>
      </c>
      <c r="B114" s="16" t="str">
        <f>VLOOKUP(A114,'Reg Sheet'!A$2:F$357,6,FALSE)</f>
        <v>HS</v>
      </c>
      <c r="C114" s="4" t="s">
        <v>132</v>
      </c>
      <c r="D114" s="4" t="s">
        <v>128</v>
      </c>
      <c r="E114" s="4" t="str">
        <f>VLOOKUP(A114,'Reg Sheet'!A$2:G$357,7,FALSE)</f>
        <v>11th</v>
      </c>
      <c r="F114" s="5" t="s">
        <v>15</v>
      </c>
      <c r="G114" s="5" t="e">
        <f t="shared" ca="1" si="2"/>
        <v>#N/A</v>
      </c>
      <c r="H114" s="5" t="e">
        <f t="shared" ca="1" si="3"/>
        <v>#N/A</v>
      </c>
      <c r="I114" s="5">
        <v>241</v>
      </c>
      <c r="J114" s="5">
        <v>5</v>
      </c>
      <c r="K114" s="5" t="e">
        <f ca="1">VLOOKUP(A114,'Kealing Site'!$A$2:$E$338,5,FALSE)</f>
        <v>#N/A</v>
      </c>
      <c r="L114" s="5" t="e">
        <f ca="1">VLOOKUP(A114,'Kealing Site'!$A$2:$F$338,6,FALSE)</f>
        <v>#N/A</v>
      </c>
    </row>
    <row r="115" spans="1:12" hidden="1">
      <c r="A115" s="16">
        <v>20006</v>
      </c>
      <c r="B115" s="16" t="str">
        <f>VLOOKUP(A115,'Reg Sheet'!A$2:F$357,6,FALSE)</f>
        <v>HS</v>
      </c>
      <c r="C115" s="4" t="s">
        <v>133</v>
      </c>
      <c r="D115" s="4" t="s">
        <v>128</v>
      </c>
      <c r="E115" s="4" t="str">
        <f>VLOOKUP(A115,'Reg Sheet'!A$2:G$357,7,FALSE)</f>
        <v>10th</v>
      </c>
      <c r="F115" s="5" t="s">
        <v>15</v>
      </c>
      <c r="G115" s="5">
        <f t="shared" ca="1" si="2"/>
        <v>540</v>
      </c>
      <c r="H115" s="5">
        <f t="shared" ca="1" si="3"/>
        <v>25</v>
      </c>
      <c r="I115" s="5">
        <v>269</v>
      </c>
      <c r="J115" s="5">
        <v>13</v>
      </c>
      <c r="K115" s="5">
        <f ca="1">VLOOKUP(A115,'Kealing Site'!$A$2:$E$338,5,FALSE)</f>
        <v>271</v>
      </c>
      <c r="L115" s="5">
        <f ca="1">VLOOKUP(A115,'Kealing Site'!$A$2:$F$338,6,FALSE)</f>
        <v>12</v>
      </c>
    </row>
    <row r="116" spans="1:12" hidden="1">
      <c r="A116" s="16">
        <v>20007</v>
      </c>
      <c r="B116" s="16" t="str">
        <f>VLOOKUP(A116,'Reg Sheet'!A$2:F$357,6,FALSE)</f>
        <v>MS</v>
      </c>
      <c r="C116" s="4" t="s">
        <v>134</v>
      </c>
      <c r="D116" s="4" t="s">
        <v>128</v>
      </c>
      <c r="E116" s="4" t="str">
        <f>VLOOKUP(A116,'Reg Sheet'!A$2:G$357,7,FALSE)</f>
        <v>7th</v>
      </c>
      <c r="F116" s="5" t="s">
        <v>15</v>
      </c>
      <c r="G116" s="5">
        <f t="shared" ca="1" si="2"/>
        <v>419</v>
      </c>
      <c r="H116" s="5">
        <f t="shared" ca="1" si="3"/>
        <v>3</v>
      </c>
      <c r="I116" s="5">
        <v>212</v>
      </c>
      <c r="J116" s="5">
        <v>2</v>
      </c>
      <c r="K116" s="5">
        <f ca="1">VLOOKUP(A116,'Kealing Site'!$A$2:$E$338,5,FALSE)</f>
        <v>207</v>
      </c>
      <c r="L116" s="5">
        <f ca="1">VLOOKUP(A116,'Kealing Site'!$A$2:$F$338,6,FALSE)</f>
        <v>1</v>
      </c>
    </row>
    <row r="117" spans="1:12" hidden="1">
      <c r="A117" s="16">
        <v>20008</v>
      </c>
      <c r="B117" s="16" t="str">
        <f>VLOOKUP(A117,'Reg Sheet'!A$2:F$357,6,FALSE)</f>
        <v>MS</v>
      </c>
      <c r="C117" s="4" t="s">
        <v>135</v>
      </c>
      <c r="D117" s="4" t="s">
        <v>128</v>
      </c>
      <c r="E117" s="4" t="str">
        <f>VLOOKUP(A117,'Reg Sheet'!A$2:G$357,7,FALSE)</f>
        <v>7th</v>
      </c>
      <c r="F117" s="5" t="s">
        <v>15</v>
      </c>
      <c r="G117" s="5">
        <f t="shared" ca="1" si="2"/>
        <v>508</v>
      </c>
      <c r="H117" s="5">
        <f t="shared" ca="1" si="3"/>
        <v>10</v>
      </c>
      <c r="I117" s="5">
        <v>252</v>
      </c>
      <c r="J117" s="5">
        <v>4</v>
      </c>
      <c r="K117" s="5">
        <f ca="1">VLOOKUP(A117,'Kealing Site'!$A$2:$E$338,5,FALSE)</f>
        <v>256</v>
      </c>
      <c r="L117" s="5">
        <f ca="1">VLOOKUP(A117,'Kealing Site'!$A$2:$F$338,6,FALSE)</f>
        <v>6</v>
      </c>
    </row>
    <row r="118" spans="1:12" hidden="1">
      <c r="A118" s="16">
        <v>20009</v>
      </c>
      <c r="B118" s="16" t="str">
        <f>VLOOKUP(A118,'Reg Sheet'!A$2:F$357,6,FALSE)</f>
        <v>MS</v>
      </c>
      <c r="C118" s="4" t="s">
        <v>136</v>
      </c>
      <c r="D118" s="4" t="s">
        <v>128</v>
      </c>
      <c r="E118" s="4" t="str">
        <f>VLOOKUP(A118,'Reg Sheet'!A$2:G$357,7,FALSE)</f>
        <v>9th</v>
      </c>
      <c r="F118" s="5" t="s">
        <v>15</v>
      </c>
      <c r="G118" s="5">
        <f t="shared" ca="1" si="2"/>
        <v>466</v>
      </c>
      <c r="H118" s="5">
        <f t="shared" ca="1" si="3"/>
        <v>8</v>
      </c>
      <c r="I118" s="5">
        <v>210</v>
      </c>
      <c r="J118" s="5">
        <v>1</v>
      </c>
      <c r="K118" s="5">
        <f ca="1">VLOOKUP(A118,'Kealing Site'!$A$2:$E$338,5,FALSE)</f>
        <v>256</v>
      </c>
      <c r="L118" s="5">
        <f ca="1">VLOOKUP(A118,'Kealing Site'!$A$2:$F$338,6,FALSE)</f>
        <v>7</v>
      </c>
    </row>
    <row r="119" spans="1:12" hidden="1">
      <c r="A119" s="16">
        <v>20010</v>
      </c>
      <c r="B119" s="16" t="str">
        <f>VLOOKUP(A119,'Reg Sheet'!A$2:F$357,6,FALSE)</f>
        <v>MS</v>
      </c>
      <c r="C119" s="4" t="s">
        <v>137</v>
      </c>
      <c r="D119" s="4" t="s">
        <v>128</v>
      </c>
      <c r="E119" s="4" t="str">
        <f>VLOOKUP(A119,'Reg Sheet'!A$2:G$357,7,FALSE)</f>
        <v>8th</v>
      </c>
      <c r="F119" s="5" t="s">
        <v>15</v>
      </c>
      <c r="G119" s="5">
        <f t="shared" ca="1" si="2"/>
        <v>526</v>
      </c>
      <c r="H119" s="5">
        <f t="shared" ca="1" si="3"/>
        <v>16</v>
      </c>
      <c r="I119" s="5">
        <v>266</v>
      </c>
      <c r="J119" s="5">
        <v>9</v>
      </c>
      <c r="K119" s="5">
        <f ca="1">VLOOKUP(A119,'Kealing Site'!$A$2:$E$338,5,FALSE)</f>
        <v>260</v>
      </c>
      <c r="L119" s="5">
        <f ca="1">VLOOKUP(A119,'Kealing Site'!$A$2:$F$338,6,FALSE)</f>
        <v>7</v>
      </c>
    </row>
    <row r="120" spans="1:12" hidden="1">
      <c r="A120" s="16">
        <v>20011</v>
      </c>
      <c r="B120" s="16" t="str">
        <f>VLOOKUP(A120,'Reg Sheet'!A$2:F$357,6,FALSE)</f>
        <v>MS</v>
      </c>
      <c r="C120" s="4" t="s">
        <v>138</v>
      </c>
      <c r="D120" s="4" t="s">
        <v>128</v>
      </c>
      <c r="E120" s="4" t="str">
        <f>VLOOKUP(A120,'Reg Sheet'!A$2:G$357,7,FALSE)</f>
        <v>8th</v>
      </c>
      <c r="F120" s="5" t="s">
        <v>15</v>
      </c>
      <c r="G120" s="5">
        <f t="shared" ca="1" si="2"/>
        <v>568</v>
      </c>
      <c r="H120" s="5">
        <f t="shared" ca="1" si="3"/>
        <v>34</v>
      </c>
      <c r="I120" s="5">
        <v>290</v>
      </c>
      <c r="J120" s="5">
        <v>22</v>
      </c>
      <c r="K120" s="5">
        <f ca="1">VLOOKUP(A120,'Kealing Site'!$A$2:$E$338,5,FALSE)</f>
        <v>278</v>
      </c>
      <c r="L120" s="5">
        <f ca="1">VLOOKUP(A120,'Kealing Site'!$A$2:$F$338,6,FALSE)</f>
        <v>12</v>
      </c>
    </row>
    <row r="121" spans="1:12" hidden="1">
      <c r="A121" s="16">
        <v>20012</v>
      </c>
      <c r="B121" s="16" t="str">
        <f>VLOOKUP(A121,'Reg Sheet'!A$2:F$357,6,FALSE)</f>
        <v>MS</v>
      </c>
      <c r="C121" s="4" t="s">
        <v>139</v>
      </c>
      <c r="D121" s="4" t="s">
        <v>128</v>
      </c>
      <c r="E121" s="4" t="str">
        <f>VLOOKUP(A121,'Reg Sheet'!A$2:G$357,7,FALSE)</f>
        <v>8th</v>
      </c>
      <c r="F121" s="5" t="s">
        <v>15</v>
      </c>
      <c r="G121" s="5">
        <f t="shared" ca="1" si="2"/>
        <v>515</v>
      </c>
      <c r="H121" s="5">
        <f t="shared" ca="1" si="3"/>
        <v>11</v>
      </c>
      <c r="I121" s="5">
        <v>256</v>
      </c>
      <c r="J121" s="5">
        <v>7</v>
      </c>
      <c r="K121" s="5">
        <f ca="1">VLOOKUP(A121,'Kealing Site'!$A$2:$E$338,5,FALSE)</f>
        <v>259</v>
      </c>
      <c r="L121" s="5">
        <f ca="1">VLOOKUP(A121,'Kealing Site'!$A$2:$F$338,6,FALSE)</f>
        <v>4</v>
      </c>
    </row>
    <row r="122" spans="1:12" hidden="1">
      <c r="A122" s="16">
        <v>20013</v>
      </c>
      <c r="B122" s="16" t="str">
        <f>VLOOKUP(A122,'Reg Sheet'!A$2:F$357,6,FALSE)</f>
        <v>MS</v>
      </c>
      <c r="C122" s="4" t="s">
        <v>140</v>
      </c>
      <c r="D122" s="4" t="s">
        <v>128</v>
      </c>
      <c r="E122" s="4" t="str">
        <f>VLOOKUP(A122,'Reg Sheet'!A$2:G$357,7,FALSE)</f>
        <v>7th</v>
      </c>
      <c r="F122" s="5" t="s">
        <v>15</v>
      </c>
      <c r="G122" s="5">
        <f t="shared" ca="1" si="2"/>
        <v>493</v>
      </c>
      <c r="H122" s="5">
        <f t="shared" ca="1" si="3"/>
        <v>13</v>
      </c>
      <c r="I122" s="5">
        <v>257</v>
      </c>
      <c r="J122" s="5">
        <v>10</v>
      </c>
      <c r="K122" s="5">
        <f ca="1">VLOOKUP(A122,'Kealing Site'!$A$2:$E$338,5,FALSE)</f>
        <v>236</v>
      </c>
      <c r="L122" s="5">
        <f ca="1">VLOOKUP(A122,'Kealing Site'!$A$2:$F$338,6,FALSE)</f>
        <v>3</v>
      </c>
    </row>
    <row r="123" spans="1:12" hidden="1">
      <c r="A123" s="16">
        <v>20014</v>
      </c>
      <c r="B123" s="16" t="str">
        <f>VLOOKUP(A123,'Reg Sheet'!A$2:F$357,6,FALSE)</f>
        <v>MS</v>
      </c>
      <c r="C123" s="4" t="s">
        <v>141</v>
      </c>
      <c r="D123" s="4" t="s">
        <v>128</v>
      </c>
      <c r="E123" s="4" t="str">
        <f>VLOOKUP(A123,'Reg Sheet'!A$2:G$357,7,FALSE)</f>
        <v>6th</v>
      </c>
      <c r="F123" s="5" t="s">
        <v>15</v>
      </c>
      <c r="G123" s="5">
        <f t="shared" ca="1" si="2"/>
        <v>511</v>
      </c>
      <c r="H123" s="5">
        <f t="shared" ca="1" si="3"/>
        <v>12</v>
      </c>
      <c r="I123" s="5">
        <v>255</v>
      </c>
      <c r="J123" s="5">
        <v>5</v>
      </c>
      <c r="K123" s="5">
        <f ca="1">VLOOKUP(A123,'Kealing Site'!$A$2:$E$338,5,FALSE)</f>
        <v>256</v>
      </c>
      <c r="L123" s="5">
        <f ca="1">VLOOKUP(A123,'Kealing Site'!$A$2:$F$338,6,FALSE)</f>
        <v>7</v>
      </c>
    </row>
    <row r="124" spans="1:12" hidden="1">
      <c r="A124" s="16">
        <v>20015</v>
      </c>
      <c r="B124" s="16" t="str">
        <f>VLOOKUP(A124,'Reg Sheet'!A$2:F$357,6,FALSE)</f>
        <v>HS</v>
      </c>
      <c r="C124" s="4" t="s">
        <v>142</v>
      </c>
      <c r="D124" s="4" t="s">
        <v>128</v>
      </c>
      <c r="E124" s="4" t="str">
        <f>VLOOKUP(A124,'Reg Sheet'!A$2:G$357,7,FALSE)</f>
        <v>9th</v>
      </c>
      <c r="F124" s="5" t="s">
        <v>15</v>
      </c>
      <c r="G124" s="5">
        <f t="shared" ca="1" si="2"/>
        <v>443</v>
      </c>
      <c r="H124" s="5">
        <f t="shared" ca="1" si="3"/>
        <v>8</v>
      </c>
      <c r="I124" s="5">
        <v>217</v>
      </c>
      <c r="J124" s="5">
        <v>4</v>
      </c>
      <c r="K124" s="5">
        <f ca="1">VLOOKUP(A124,'Kealing Site'!$A$2:$E$338,5,FALSE)</f>
        <v>226</v>
      </c>
      <c r="L124" s="5">
        <f ca="1">VLOOKUP(A124,'Kealing Site'!$A$2:$F$338,6,FALSE)</f>
        <v>4</v>
      </c>
    </row>
    <row r="125" spans="1:12" hidden="1">
      <c r="A125" s="16">
        <v>20016</v>
      </c>
      <c r="B125" s="16" t="str">
        <f>VLOOKUP(A125,'Reg Sheet'!A$2:F$357,6,FALSE)</f>
        <v>MS</v>
      </c>
      <c r="C125" s="4" t="s">
        <v>143</v>
      </c>
      <c r="D125" s="4" t="s">
        <v>128</v>
      </c>
      <c r="E125" s="4" t="str">
        <f>VLOOKUP(A125,'Reg Sheet'!A$2:G$357,7,FALSE)</f>
        <v>7th</v>
      </c>
      <c r="F125" s="5" t="s">
        <v>15</v>
      </c>
      <c r="G125" s="5">
        <f t="shared" ca="1" si="2"/>
        <v>501</v>
      </c>
      <c r="H125" s="5">
        <f t="shared" ca="1" si="3"/>
        <v>15</v>
      </c>
      <c r="I125" s="5">
        <v>248</v>
      </c>
      <c r="J125" s="5">
        <v>9</v>
      </c>
      <c r="K125" s="5">
        <f ca="1">VLOOKUP(A125,'Kealing Site'!$A$2:$E$338,5,FALSE)</f>
        <v>253</v>
      </c>
      <c r="L125" s="5">
        <f ca="1">VLOOKUP(A125,'Kealing Site'!$A$2:$F$338,6,FALSE)</f>
        <v>6</v>
      </c>
    </row>
    <row r="126" spans="1:12" hidden="1">
      <c r="A126" s="16">
        <v>20017</v>
      </c>
      <c r="B126" s="16" t="str">
        <f>VLOOKUP(A126,'Reg Sheet'!A$2:F$357,6,FALSE)</f>
        <v>MS</v>
      </c>
      <c r="C126" s="4" t="s">
        <v>144</v>
      </c>
      <c r="D126" s="4" t="s">
        <v>128</v>
      </c>
      <c r="E126" s="4" t="str">
        <f>VLOOKUP(A126,'Reg Sheet'!A$2:G$357,7,FALSE)</f>
        <v>6th</v>
      </c>
      <c r="F126" s="5" t="s">
        <v>15</v>
      </c>
      <c r="G126" s="5">
        <f t="shared" ca="1" si="2"/>
        <v>470</v>
      </c>
      <c r="H126" s="5">
        <f t="shared" ca="1" si="3"/>
        <v>6</v>
      </c>
      <c r="I126" s="5">
        <v>243</v>
      </c>
      <c r="J126" s="5">
        <v>5</v>
      </c>
      <c r="K126" s="5">
        <f ca="1">VLOOKUP(A126,'Kealing Site'!$A$2:$E$338,5,FALSE)</f>
        <v>227</v>
      </c>
      <c r="L126" s="5">
        <f ca="1">VLOOKUP(A126,'Kealing Site'!$A$2:$F$338,6,FALSE)</f>
        <v>1</v>
      </c>
    </row>
    <row r="127" spans="1:12" hidden="1">
      <c r="A127" s="16">
        <v>20018</v>
      </c>
      <c r="B127" s="16" t="str">
        <f>VLOOKUP(A127,'Reg Sheet'!A$2:F$357,6,FALSE)</f>
        <v>MS</v>
      </c>
      <c r="C127" s="4" t="s">
        <v>145</v>
      </c>
      <c r="D127" s="4" t="s">
        <v>128</v>
      </c>
      <c r="E127" s="4" t="str">
        <f>VLOOKUP(A127,'Reg Sheet'!A$2:G$357,7,FALSE)</f>
        <v>8th</v>
      </c>
      <c r="F127" s="5" t="s">
        <v>15</v>
      </c>
      <c r="G127" s="5">
        <f t="shared" ca="1" si="2"/>
        <v>452</v>
      </c>
      <c r="H127" s="5">
        <f t="shared" ca="1" si="3"/>
        <v>9</v>
      </c>
      <c r="I127" s="5">
        <v>217</v>
      </c>
      <c r="J127" s="5">
        <v>4</v>
      </c>
      <c r="K127" s="5">
        <f ca="1">VLOOKUP(A127,'Kealing Site'!$A$2:$E$338,5,FALSE)</f>
        <v>235</v>
      </c>
      <c r="L127" s="5">
        <f ca="1">VLOOKUP(A127,'Kealing Site'!$A$2:$F$338,6,FALSE)</f>
        <v>5</v>
      </c>
    </row>
    <row r="128" spans="1:12" hidden="1">
      <c r="A128" s="16">
        <v>20019</v>
      </c>
      <c r="B128" s="16" t="str">
        <f>VLOOKUP(A128,'Reg Sheet'!A$2:F$357,6,FALSE)</f>
        <v>MS</v>
      </c>
      <c r="C128" s="4" t="s">
        <v>146</v>
      </c>
      <c r="D128" s="4" t="s">
        <v>128</v>
      </c>
      <c r="E128" s="4" t="str">
        <f>VLOOKUP(A128,'Reg Sheet'!A$2:G$357,7,FALSE)</f>
        <v>7th</v>
      </c>
      <c r="F128" s="5" t="s">
        <v>15</v>
      </c>
      <c r="G128" s="5">
        <f t="shared" ca="1" si="2"/>
        <v>540</v>
      </c>
      <c r="H128" s="5">
        <f t="shared" ca="1" si="3"/>
        <v>17</v>
      </c>
      <c r="I128" s="5">
        <v>274</v>
      </c>
      <c r="J128" s="5">
        <v>10</v>
      </c>
      <c r="K128" s="5">
        <f ca="1">VLOOKUP(A128,'Kealing Site'!$A$2:$E$338,5,FALSE)</f>
        <v>266</v>
      </c>
      <c r="L128" s="5">
        <f ca="1">VLOOKUP(A128,'Kealing Site'!$A$2:$F$338,6,FALSE)</f>
        <v>7</v>
      </c>
    </row>
    <row r="129" spans="1:14" hidden="1">
      <c r="A129" s="16">
        <v>20020</v>
      </c>
      <c r="B129" s="16" t="str">
        <f>VLOOKUP(A129,'Reg Sheet'!A$2:F$357,6,FALSE)</f>
        <v>HS</v>
      </c>
      <c r="C129" s="4" t="s">
        <v>147</v>
      </c>
      <c r="D129" s="4" t="s">
        <v>128</v>
      </c>
      <c r="E129" s="4" t="str">
        <f>VLOOKUP(A129,'Reg Sheet'!A$2:G$357,7,FALSE)</f>
        <v>12th</v>
      </c>
      <c r="F129" s="5" t="s">
        <v>15</v>
      </c>
      <c r="G129" s="5">
        <f t="shared" ca="1" si="2"/>
        <v>507</v>
      </c>
      <c r="H129" s="5">
        <f t="shared" ca="1" si="3"/>
        <v>11</v>
      </c>
      <c r="I129" s="5">
        <v>256</v>
      </c>
      <c r="J129" s="5">
        <v>5</v>
      </c>
      <c r="K129" s="5">
        <f ca="1">VLOOKUP(A129,'Kealing Site'!$A$2:$E$338,5,FALSE)</f>
        <v>251</v>
      </c>
      <c r="L129" s="5">
        <f ca="1">VLOOKUP(A129,'Kealing Site'!$A$2:$F$338,6,FALSE)</f>
        <v>6</v>
      </c>
    </row>
    <row r="130" spans="1:14" hidden="1">
      <c r="A130" s="16">
        <v>20021</v>
      </c>
      <c r="B130" s="16" t="str">
        <f>VLOOKUP(A130,'Reg Sheet'!A$2:F$357,6,FALSE)</f>
        <v>MS</v>
      </c>
      <c r="C130" s="4" t="s">
        <v>148</v>
      </c>
      <c r="D130" s="4" t="s">
        <v>128</v>
      </c>
      <c r="E130" s="4" t="str">
        <f>VLOOKUP(A130,'Reg Sheet'!A$2:G$357,7,FALSE)</f>
        <v>7th</v>
      </c>
      <c r="F130" s="5" t="s">
        <v>15</v>
      </c>
      <c r="G130" s="5" t="e">
        <f t="shared" ref="G130:G193" ca="1" si="4">I130+K130</f>
        <v>#VALUE!</v>
      </c>
      <c r="H130" s="5" t="e">
        <f t="shared" ref="H130:H193" ca="1" si="5">J130+L130</f>
        <v>#VALUE!</v>
      </c>
      <c r="I130" s="5">
        <v>206</v>
      </c>
      <c r="J130" s="5">
        <v>0</v>
      </c>
      <c r="K130" s="5" t="str">
        <f ca="1">VLOOKUP(A130,'Kealing Site'!$A$2:$E$338,5,FALSE)</f>
        <v>Posting</v>
      </c>
      <c r="L130" s="5" t="str">
        <f ca="1">VLOOKUP(A130,'Kealing Site'!$A$2:$F$338,6,FALSE)</f>
        <v>Posting</v>
      </c>
    </row>
    <row r="131" spans="1:14" hidden="1">
      <c r="A131" s="16">
        <v>20022</v>
      </c>
      <c r="B131" s="16" t="str">
        <f>VLOOKUP(A131,'Reg Sheet'!A$2:F$357,6,FALSE)</f>
        <v>HS</v>
      </c>
      <c r="C131" s="4" t="s">
        <v>149</v>
      </c>
      <c r="D131" s="4" t="s">
        <v>128</v>
      </c>
      <c r="E131" s="4" t="str">
        <f>VLOOKUP(A131,'Reg Sheet'!A$2:G$357,7,FALSE)</f>
        <v>9th</v>
      </c>
      <c r="F131" s="5" t="s">
        <v>15</v>
      </c>
      <c r="G131" s="5">
        <f t="shared" ca="1" si="4"/>
        <v>525</v>
      </c>
      <c r="H131" s="5">
        <f t="shared" ca="1" si="5"/>
        <v>18</v>
      </c>
      <c r="I131" s="5">
        <v>272</v>
      </c>
      <c r="J131" s="5">
        <v>12</v>
      </c>
      <c r="K131" s="5">
        <f ca="1">VLOOKUP(A131,'Kealing Site'!$A$2:$E$338,5,FALSE)</f>
        <v>253</v>
      </c>
      <c r="L131" s="5">
        <f ca="1">VLOOKUP(A131,'Kealing Site'!$A$2:$F$338,6,FALSE)</f>
        <v>6</v>
      </c>
      <c r="N131" t="s">
        <v>1032</v>
      </c>
    </row>
    <row r="132" spans="1:14" hidden="1">
      <c r="A132" s="16">
        <v>20023</v>
      </c>
      <c r="B132" s="16" t="str">
        <f>VLOOKUP(A132,'Reg Sheet'!A$2:F$357,6,FALSE)</f>
        <v>MS</v>
      </c>
      <c r="C132" s="4" t="s">
        <v>150</v>
      </c>
      <c r="D132" s="4" t="s">
        <v>128</v>
      </c>
      <c r="E132" s="4" t="str">
        <f>VLOOKUP(A132,'Reg Sheet'!A$2:G$357,7,FALSE)</f>
        <v>6th</v>
      </c>
      <c r="F132" s="5" t="s">
        <v>15</v>
      </c>
      <c r="G132" s="5">
        <f t="shared" ca="1" si="4"/>
        <v>389</v>
      </c>
      <c r="H132" s="5">
        <f t="shared" ca="1" si="5"/>
        <v>2</v>
      </c>
      <c r="I132" s="5">
        <v>210</v>
      </c>
      <c r="J132" s="5">
        <v>2</v>
      </c>
      <c r="K132" s="5">
        <f ca="1">VLOOKUP(A132,'Kealing Site'!$A$2:$E$338,5,FALSE)</f>
        <v>179</v>
      </c>
      <c r="L132" s="5">
        <f ca="1">VLOOKUP(A132,'Kealing Site'!$A$2:$F$338,6,FALSE)</f>
        <v>0</v>
      </c>
    </row>
    <row r="133" spans="1:14" hidden="1">
      <c r="A133" s="16">
        <v>20024</v>
      </c>
      <c r="B133" s="16" t="str">
        <f>VLOOKUP(A133,'Reg Sheet'!A$2:F$357,6,FALSE)</f>
        <v>HS</v>
      </c>
      <c r="C133" s="4" t="s">
        <v>151</v>
      </c>
      <c r="D133" s="4" t="s">
        <v>128</v>
      </c>
      <c r="E133" s="4" t="str">
        <f>VLOOKUP(A133,'Reg Sheet'!A$2:G$357,7,FALSE)</f>
        <v>9th</v>
      </c>
      <c r="F133" s="5" t="s">
        <v>15</v>
      </c>
      <c r="G133" s="5">
        <f t="shared" ca="1" si="4"/>
        <v>554</v>
      </c>
      <c r="H133" s="5">
        <f t="shared" ca="1" si="5"/>
        <v>27</v>
      </c>
      <c r="I133" s="5">
        <v>275</v>
      </c>
      <c r="J133" s="5">
        <v>12</v>
      </c>
      <c r="K133" s="5">
        <f ca="1">VLOOKUP(A133,'Kealing Site'!$A$2:$E$338,5,FALSE)</f>
        <v>279</v>
      </c>
      <c r="L133" s="5">
        <f ca="1">VLOOKUP(A133,'Kealing Site'!$A$2:$F$338,6,FALSE)</f>
        <v>15</v>
      </c>
      <c r="N133" t="e">
        <f ca="1">G131+G133+G138+G140+G141+G144+G151+G152+G154+G155+G158+G159</f>
        <v>#N/A</v>
      </c>
    </row>
    <row r="134" spans="1:14" hidden="1">
      <c r="A134" s="16">
        <v>20025</v>
      </c>
      <c r="B134" s="16" t="str">
        <f>VLOOKUP(A134,'Reg Sheet'!A$2:F$357,6,FALSE)</f>
        <v>MS</v>
      </c>
      <c r="C134" s="4" t="s">
        <v>152</v>
      </c>
      <c r="D134" s="4" t="s">
        <v>128</v>
      </c>
      <c r="E134" s="4" t="str">
        <f>VLOOKUP(A134,'Reg Sheet'!A$2:G$357,7,FALSE)</f>
        <v>6th</v>
      </c>
      <c r="F134" s="5" t="s">
        <v>15</v>
      </c>
      <c r="G134" s="5">
        <f t="shared" ca="1" si="4"/>
        <v>473</v>
      </c>
      <c r="H134" s="5">
        <f t="shared" ca="1" si="5"/>
        <v>8</v>
      </c>
      <c r="I134" s="5">
        <v>246</v>
      </c>
      <c r="J134" s="5">
        <v>3</v>
      </c>
      <c r="K134" s="5">
        <f ca="1">VLOOKUP(A134,'Kealing Site'!$A$2:$E$338,5,FALSE)</f>
        <v>227</v>
      </c>
      <c r="L134" s="5">
        <f ca="1">VLOOKUP(A134,'Kealing Site'!$A$2:$F$338,6,FALSE)</f>
        <v>5</v>
      </c>
    </row>
    <row r="135" spans="1:14" hidden="1">
      <c r="A135" s="16">
        <v>20026</v>
      </c>
      <c r="B135" s="16" t="str">
        <f>VLOOKUP(A135,'Reg Sheet'!A$2:F$357,6,FALSE)</f>
        <v>MS</v>
      </c>
      <c r="C135" s="4" t="s">
        <v>153</v>
      </c>
      <c r="D135" s="4" t="s">
        <v>128</v>
      </c>
      <c r="E135" s="4" t="str">
        <f>VLOOKUP(A135,'Reg Sheet'!A$2:G$357,7,FALSE)</f>
        <v>6th</v>
      </c>
      <c r="F135" s="5" t="s">
        <v>15</v>
      </c>
      <c r="G135" s="5">
        <f t="shared" ca="1" si="4"/>
        <v>475</v>
      </c>
      <c r="H135" s="5">
        <f t="shared" ca="1" si="5"/>
        <v>13</v>
      </c>
      <c r="I135" s="5">
        <v>227</v>
      </c>
      <c r="J135" s="5">
        <v>5</v>
      </c>
      <c r="K135" s="5">
        <f ca="1">VLOOKUP(A135,'Kealing Site'!$A$2:$E$338,5,FALSE)</f>
        <v>248</v>
      </c>
      <c r="L135" s="5">
        <f ca="1">VLOOKUP(A135,'Kealing Site'!$A$2:$F$338,6,FALSE)</f>
        <v>8</v>
      </c>
    </row>
    <row r="136" spans="1:14" hidden="1">
      <c r="A136" s="16">
        <v>20027</v>
      </c>
      <c r="B136" s="16" t="str">
        <f>VLOOKUP(A136,'Reg Sheet'!A$2:F$357,6,FALSE)</f>
        <v>MS</v>
      </c>
      <c r="C136" s="4" t="s">
        <v>154</v>
      </c>
      <c r="D136" s="4" t="s">
        <v>128</v>
      </c>
      <c r="E136" s="4" t="str">
        <f>VLOOKUP(A136,'Reg Sheet'!A$2:G$357,7,FALSE)</f>
        <v>6th</v>
      </c>
      <c r="F136" s="5" t="s">
        <v>15</v>
      </c>
      <c r="G136" s="5">
        <f t="shared" ca="1" si="4"/>
        <v>210</v>
      </c>
      <c r="H136" s="5">
        <f t="shared" ca="1" si="5"/>
        <v>1</v>
      </c>
      <c r="I136" s="5">
        <v>96</v>
      </c>
      <c r="J136" s="5">
        <v>0</v>
      </c>
      <c r="K136" s="5">
        <f ca="1">VLOOKUP(A136,'Kealing Site'!$A$2:$E$338,5,FALSE)</f>
        <v>114</v>
      </c>
      <c r="L136" s="5">
        <f ca="1">VLOOKUP(A136,'Kealing Site'!$A$2:$F$338,6,FALSE)</f>
        <v>1</v>
      </c>
    </row>
    <row r="137" spans="1:14" hidden="1">
      <c r="A137" s="16">
        <v>20028</v>
      </c>
      <c r="B137" s="16" t="str">
        <f>VLOOKUP(A137,'Reg Sheet'!A$2:F$357,6,FALSE)</f>
        <v>MS</v>
      </c>
      <c r="C137" s="4" t="s">
        <v>155</v>
      </c>
      <c r="D137" s="4" t="s">
        <v>128</v>
      </c>
      <c r="E137" s="4" t="str">
        <f>VLOOKUP(A137,'Reg Sheet'!A$2:G$357,7,FALSE)</f>
        <v>6th</v>
      </c>
      <c r="F137" s="5" t="s">
        <v>15</v>
      </c>
      <c r="G137" s="5" t="e">
        <f t="shared" ca="1" si="4"/>
        <v>#N/A</v>
      </c>
      <c r="H137" s="5" t="e">
        <f t="shared" ca="1" si="5"/>
        <v>#N/A</v>
      </c>
      <c r="I137" s="5">
        <v>246</v>
      </c>
      <c r="J137" s="5">
        <v>5</v>
      </c>
      <c r="K137" s="5" t="e">
        <f ca="1">VLOOKUP(A137,'Kealing Site'!$A$2:$E$338,5,FALSE)</f>
        <v>#N/A</v>
      </c>
      <c r="L137" s="5" t="e">
        <f ca="1">VLOOKUP(A137,'Kealing Site'!$A$2:$F$338,6,FALSE)</f>
        <v>#N/A</v>
      </c>
    </row>
    <row r="138" spans="1:14" hidden="1">
      <c r="A138" s="16">
        <v>20029</v>
      </c>
      <c r="B138" s="16" t="str">
        <f>VLOOKUP(A138,'Reg Sheet'!A$2:F$357,6,FALSE)</f>
        <v>HS</v>
      </c>
      <c r="C138" s="4" t="s">
        <v>156</v>
      </c>
      <c r="D138" s="4" t="s">
        <v>128</v>
      </c>
      <c r="E138" s="4" t="str">
        <f>VLOOKUP(A138,'Reg Sheet'!A$2:G$357,7,FALSE)</f>
        <v>9th</v>
      </c>
      <c r="F138" s="5" t="s">
        <v>15</v>
      </c>
      <c r="G138" s="5">
        <f t="shared" ca="1" si="4"/>
        <v>513</v>
      </c>
      <c r="H138" s="5">
        <f t="shared" ca="1" si="5"/>
        <v>11</v>
      </c>
      <c r="I138" s="5">
        <v>267</v>
      </c>
      <c r="J138" s="5">
        <v>7</v>
      </c>
      <c r="K138" s="5">
        <f ca="1">VLOOKUP(A138,'Kealing Site'!$A$2:$E$338,5,FALSE)</f>
        <v>246</v>
      </c>
      <c r="L138" s="5">
        <f ca="1">VLOOKUP(A138,'Kealing Site'!$A$2:$F$338,6,FALSE)</f>
        <v>4</v>
      </c>
    </row>
    <row r="139" spans="1:14" hidden="1">
      <c r="A139" s="16">
        <v>20030</v>
      </c>
      <c r="B139" s="16" t="str">
        <f>VLOOKUP(A139,'Reg Sheet'!A$2:F$357,6,FALSE)</f>
        <v>MS</v>
      </c>
      <c r="C139" s="4" t="s">
        <v>157</v>
      </c>
      <c r="D139" s="4" t="s">
        <v>128</v>
      </c>
      <c r="E139" s="4" t="str">
        <f>VLOOKUP(A139,'Reg Sheet'!A$2:G$357,7,FALSE)</f>
        <v>8th</v>
      </c>
      <c r="F139" s="5" t="s">
        <v>15</v>
      </c>
      <c r="G139" s="5">
        <f t="shared" ca="1" si="4"/>
        <v>498</v>
      </c>
      <c r="H139" s="5">
        <f t="shared" ca="1" si="5"/>
        <v>8</v>
      </c>
      <c r="I139" s="5">
        <v>252</v>
      </c>
      <c r="J139" s="5">
        <v>5</v>
      </c>
      <c r="K139" s="5">
        <f ca="1">VLOOKUP(A139,'Kealing Site'!$A$2:$E$338,5,FALSE)</f>
        <v>246</v>
      </c>
      <c r="L139" s="5">
        <f ca="1">VLOOKUP(A139,'Kealing Site'!$A$2:$F$338,6,FALSE)</f>
        <v>3</v>
      </c>
    </row>
    <row r="140" spans="1:14" hidden="1">
      <c r="A140" s="16">
        <v>20031</v>
      </c>
      <c r="B140" s="16" t="str">
        <f>VLOOKUP(A140,'Reg Sheet'!A$2:F$357,6,FALSE)</f>
        <v>HS</v>
      </c>
      <c r="C140" s="4" t="s">
        <v>158</v>
      </c>
      <c r="D140" s="4" t="s">
        <v>128</v>
      </c>
      <c r="E140" s="4" t="str">
        <f>VLOOKUP(A140,'Reg Sheet'!A$2:G$357,7,FALSE)</f>
        <v>9th</v>
      </c>
      <c r="F140" s="5" t="s">
        <v>15</v>
      </c>
      <c r="G140" s="5">
        <f t="shared" ca="1" si="4"/>
        <v>496</v>
      </c>
      <c r="H140" s="5">
        <f t="shared" ca="1" si="5"/>
        <v>12</v>
      </c>
      <c r="I140" s="5">
        <v>247</v>
      </c>
      <c r="J140" s="5">
        <v>6</v>
      </c>
      <c r="K140" s="5">
        <f ca="1">VLOOKUP(A140,'Kealing Site'!$A$2:$E$338,5,FALSE)</f>
        <v>249</v>
      </c>
      <c r="L140" s="5">
        <f ca="1">VLOOKUP(A140,'Kealing Site'!$A$2:$F$338,6,FALSE)</f>
        <v>6</v>
      </c>
    </row>
    <row r="141" spans="1:14" hidden="1">
      <c r="A141" s="16">
        <v>20032</v>
      </c>
      <c r="B141" s="16" t="str">
        <f>VLOOKUP(A141,'Reg Sheet'!A$2:F$357,6,FALSE)</f>
        <v>HS</v>
      </c>
      <c r="C141" s="4" t="s">
        <v>159</v>
      </c>
      <c r="D141" s="4" t="s">
        <v>128</v>
      </c>
      <c r="E141" s="4" t="str">
        <f>VLOOKUP(A141,'Reg Sheet'!A$2:G$357,7,FALSE)</f>
        <v>9th</v>
      </c>
      <c r="F141" s="5" t="s">
        <v>15</v>
      </c>
      <c r="G141" s="5">
        <f t="shared" ca="1" si="4"/>
        <v>414</v>
      </c>
      <c r="H141" s="5">
        <f t="shared" ca="1" si="5"/>
        <v>2</v>
      </c>
      <c r="I141" s="5">
        <v>209</v>
      </c>
      <c r="J141" s="5">
        <v>2</v>
      </c>
      <c r="K141" s="5">
        <f ca="1">VLOOKUP(A141,'Kealing Site'!$A$2:$E$338,5,FALSE)</f>
        <v>205</v>
      </c>
      <c r="L141" s="5">
        <f ca="1">VLOOKUP(A141,'Kealing Site'!$A$2:$F$338,6,FALSE)</f>
        <v>0</v>
      </c>
    </row>
    <row r="142" spans="1:14" hidden="1">
      <c r="A142" s="16">
        <v>20033</v>
      </c>
      <c r="B142" s="16" t="str">
        <f>VLOOKUP(A142,'Reg Sheet'!A$2:F$357,6,FALSE)</f>
        <v>MS</v>
      </c>
      <c r="C142" s="4" t="s">
        <v>160</v>
      </c>
      <c r="D142" s="4" t="s">
        <v>128</v>
      </c>
      <c r="E142" s="4" t="str">
        <f>VLOOKUP(A142,'Reg Sheet'!A$2:G$357,7,FALSE)</f>
        <v>7th</v>
      </c>
      <c r="F142" s="5" t="s">
        <v>15</v>
      </c>
      <c r="G142" s="5">
        <f t="shared" ca="1" si="4"/>
        <v>482</v>
      </c>
      <c r="H142" s="5">
        <f t="shared" ca="1" si="5"/>
        <v>6</v>
      </c>
      <c r="I142" s="5">
        <v>251</v>
      </c>
      <c r="J142" s="5">
        <v>4</v>
      </c>
      <c r="K142" s="5">
        <f ca="1">VLOOKUP(A142,'Kealing Site'!$A$2:$E$338,5,FALSE)</f>
        <v>231</v>
      </c>
      <c r="L142" s="5">
        <f ca="1">VLOOKUP(A142,'Kealing Site'!$A$2:$F$338,6,FALSE)</f>
        <v>2</v>
      </c>
    </row>
    <row r="143" spans="1:14" hidden="1">
      <c r="A143" s="16">
        <v>20034</v>
      </c>
      <c r="B143" s="16" t="str">
        <f>VLOOKUP(A143,'Reg Sheet'!A$2:F$357,6,FALSE)</f>
        <v>MS</v>
      </c>
      <c r="C143" s="4" t="s">
        <v>161</v>
      </c>
      <c r="D143" s="4" t="s">
        <v>128</v>
      </c>
      <c r="E143" s="4" t="str">
        <f>VLOOKUP(A143,'Reg Sheet'!A$2:G$357,7,FALSE)</f>
        <v>7th</v>
      </c>
      <c r="F143" s="5" t="s">
        <v>15</v>
      </c>
      <c r="G143" s="5">
        <f t="shared" ca="1" si="4"/>
        <v>452</v>
      </c>
      <c r="H143" s="5">
        <f t="shared" ca="1" si="5"/>
        <v>6</v>
      </c>
      <c r="I143" s="5">
        <v>235</v>
      </c>
      <c r="J143" s="5">
        <v>3</v>
      </c>
      <c r="K143" s="5">
        <f ca="1">VLOOKUP(A143,'Kealing Site'!$A$2:$E$338,5,FALSE)</f>
        <v>217</v>
      </c>
      <c r="L143" s="5">
        <f ca="1">VLOOKUP(A143,'Kealing Site'!$A$2:$F$338,6,FALSE)</f>
        <v>3</v>
      </c>
    </row>
    <row r="144" spans="1:14" hidden="1">
      <c r="A144" s="16">
        <v>20035</v>
      </c>
      <c r="B144" s="16" t="str">
        <f>VLOOKUP(A144,'Reg Sheet'!A$2:F$357,6,FALSE)</f>
        <v>HS</v>
      </c>
      <c r="C144" s="4" t="s">
        <v>162</v>
      </c>
      <c r="D144" s="4" t="s">
        <v>128</v>
      </c>
      <c r="E144" s="4" t="str">
        <f>VLOOKUP(A144,'Reg Sheet'!A$2:G$357,7,FALSE)</f>
        <v>9th</v>
      </c>
      <c r="F144" s="5" t="s">
        <v>15</v>
      </c>
      <c r="G144" s="5">
        <f t="shared" ca="1" si="4"/>
        <v>508</v>
      </c>
      <c r="H144" s="5">
        <f t="shared" ca="1" si="5"/>
        <v>10</v>
      </c>
      <c r="I144" s="5">
        <v>264</v>
      </c>
      <c r="J144" s="5">
        <v>7</v>
      </c>
      <c r="K144" s="5">
        <f ca="1">VLOOKUP(A144,'Kealing Site'!$A$2:$E$338,5,FALSE)</f>
        <v>244</v>
      </c>
      <c r="L144" s="5">
        <f ca="1">VLOOKUP(A144,'Kealing Site'!$A$2:$F$338,6,FALSE)</f>
        <v>3</v>
      </c>
    </row>
    <row r="145" spans="1:12" hidden="1">
      <c r="A145" s="16">
        <v>20036</v>
      </c>
      <c r="B145" s="16" t="str">
        <f>VLOOKUP(A145,'Reg Sheet'!A$2:F$357,6,FALSE)</f>
        <v>MS</v>
      </c>
      <c r="C145" s="4" t="s">
        <v>163</v>
      </c>
      <c r="D145" s="4" t="s">
        <v>128</v>
      </c>
      <c r="E145" s="4" t="str">
        <f>VLOOKUP(A145,'Reg Sheet'!A$2:G$357,7,FALSE)</f>
        <v>7th</v>
      </c>
      <c r="F145" s="5" t="s">
        <v>15</v>
      </c>
      <c r="G145" s="5">
        <f t="shared" ca="1" si="4"/>
        <v>436</v>
      </c>
      <c r="H145" s="5">
        <f t="shared" ca="1" si="5"/>
        <v>4</v>
      </c>
      <c r="I145" s="5">
        <v>212</v>
      </c>
      <c r="J145" s="5">
        <v>2</v>
      </c>
      <c r="K145" s="5">
        <f ca="1">VLOOKUP(A145,'Kealing Site'!$A$2:$E$338,5,FALSE)</f>
        <v>224</v>
      </c>
      <c r="L145" s="5">
        <f ca="1">VLOOKUP(A145,'Kealing Site'!$A$2:$F$338,6,FALSE)</f>
        <v>2</v>
      </c>
    </row>
    <row r="146" spans="1:12" hidden="1">
      <c r="A146" s="16">
        <v>20037</v>
      </c>
      <c r="B146" s="16" t="str">
        <f>VLOOKUP(A146,'Reg Sheet'!A$2:F$357,6,FALSE)</f>
        <v>MS</v>
      </c>
      <c r="C146" s="4" t="s">
        <v>164</v>
      </c>
      <c r="D146" s="4" t="s">
        <v>128</v>
      </c>
      <c r="E146" s="4" t="str">
        <f>VLOOKUP(A146,'Reg Sheet'!A$2:G$357,7,FALSE)</f>
        <v>7th</v>
      </c>
      <c r="F146" s="5" t="s">
        <v>15</v>
      </c>
      <c r="G146" s="5">
        <f t="shared" ca="1" si="4"/>
        <v>453</v>
      </c>
      <c r="H146" s="5">
        <f t="shared" ca="1" si="5"/>
        <v>7</v>
      </c>
      <c r="I146" s="5">
        <v>246</v>
      </c>
      <c r="J146" s="5">
        <v>5</v>
      </c>
      <c r="K146" s="5">
        <f ca="1">VLOOKUP(A146,'Kealing Site'!$A$2:$E$338,5,FALSE)</f>
        <v>207</v>
      </c>
      <c r="L146" s="5">
        <f ca="1">VLOOKUP(A146,'Kealing Site'!$A$2:$F$338,6,FALSE)</f>
        <v>2</v>
      </c>
    </row>
    <row r="147" spans="1:12" hidden="1">
      <c r="A147" s="16">
        <v>20038</v>
      </c>
      <c r="B147" s="16" t="str">
        <f>VLOOKUP(A147,'Reg Sheet'!A$2:F$357,6,FALSE)</f>
        <v>MS</v>
      </c>
      <c r="C147" s="4" t="s">
        <v>165</v>
      </c>
      <c r="D147" s="4" t="s">
        <v>128</v>
      </c>
      <c r="E147" s="4" t="str">
        <f>VLOOKUP(A147,'Reg Sheet'!A$2:G$357,7,FALSE)</f>
        <v>8th</v>
      </c>
      <c r="F147" s="5" t="s">
        <v>15</v>
      </c>
      <c r="G147" s="5">
        <f t="shared" ca="1" si="4"/>
        <v>544</v>
      </c>
      <c r="H147" s="5">
        <f t="shared" ca="1" si="5"/>
        <v>19</v>
      </c>
      <c r="I147" s="5">
        <v>271</v>
      </c>
      <c r="J147" s="5">
        <v>10</v>
      </c>
      <c r="K147" s="5">
        <f ca="1">VLOOKUP(A147,'Kealing Site'!$A$2:$E$338,5,FALSE)</f>
        <v>273</v>
      </c>
      <c r="L147" s="5">
        <f ca="1">VLOOKUP(A147,'Kealing Site'!$A$2:$F$338,6,FALSE)</f>
        <v>9</v>
      </c>
    </row>
    <row r="148" spans="1:12" hidden="1">
      <c r="A148" s="16">
        <v>20039</v>
      </c>
      <c r="B148" s="16" t="str">
        <f>VLOOKUP(A148,'Reg Sheet'!A$2:F$357,6,FALSE)</f>
        <v>MS</v>
      </c>
      <c r="C148" s="4" t="s">
        <v>166</v>
      </c>
      <c r="D148" s="4" t="s">
        <v>128</v>
      </c>
      <c r="E148" s="4" t="str">
        <f>VLOOKUP(A148,'Reg Sheet'!A$2:G$357,7,FALSE)</f>
        <v>8th</v>
      </c>
      <c r="F148" s="5" t="s">
        <v>15</v>
      </c>
      <c r="G148" s="5">
        <f t="shared" ca="1" si="4"/>
        <v>507</v>
      </c>
      <c r="H148" s="5">
        <f t="shared" ca="1" si="5"/>
        <v>15</v>
      </c>
      <c r="I148" s="5">
        <v>249</v>
      </c>
      <c r="J148" s="5">
        <v>7</v>
      </c>
      <c r="K148" s="5">
        <f ca="1">VLOOKUP(A148,'Kealing Site'!$A$2:$E$338,5,FALSE)</f>
        <v>258</v>
      </c>
      <c r="L148" s="5">
        <f ca="1">VLOOKUP(A148,'Kealing Site'!$A$2:$F$338,6,FALSE)</f>
        <v>8</v>
      </c>
    </row>
    <row r="149" spans="1:12" hidden="1">
      <c r="A149" s="16">
        <v>20040</v>
      </c>
      <c r="B149" s="16" t="str">
        <f>VLOOKUP(A149,'Reg Sheet'!A$2:F$357,6,FALSE)</f>
        <v>MS</v>
      </c>
      <c r="C149" s="4" t="s">
        <v>167</v>
      </c>
      <c r="D149" s="4" t="s">
        <v>128</v>
      </c>
      <c r="E149" s="4" t="str">
        <f>VLOOKUP(A149,'Reg Sheet'!A$2:G$357,7,FALSE)</f>
        <v>7th</v>
      </c>
      <c r="F149" s="5" t="s">
        <v>15</v>
      </c>
      <c r="G149" s="5" t="e">
        <f t="shared" ca="1" si="4"/>
        <v>#N/A</v>
      </c>
      <c r="H149" s="5" t="e">
        <f t="shared" ca="1" si="5"/>
        <v>#N/A</v>
      </c>
      <c r="I149" s="5" t="e">
        <v>#N/A</v>
      </c>
      <c r="J149" s="5" t="e">
        <v>#N/A</v>
      </c>
      <c r="K149" s="5">
        <f ca="1">VLOOKUP(A149,'Kealing Site'!$A$2:$E$338,5,FALSE)</f>
        <v>230</v>
      </c>
      <c r="L149" s="5">
        <f ca="1">VLOOKUP(A149,'Kealing Site'!$A$2:$F$338,6,FALSE)</f>
        <v>3</v>
      </c>
    </row>
    <row r="150" spans="1:12" hidden="1">
      <c r="A150" s="16">
        <v>20041</v>
      </c>
      <c r="B150" s="16" t="str">
        <f>VLOOKUP(A150,'Reg Sheet'!A$2:F$357,6,FALSE)</f>
        <v>MS</v>
      </c>
      <c r="C150" s="4" t="s">
        <v>168</v>
      </c>
      <c r="D150" s="4" t="s">
        <v>128</v>
      </c>
      <c r="E150" s="4" t="str">
        <f>VLOOKUP(A150,'Reg Sheet'!A$2:G$357,7,FALSE)</f>
        <v>6th</v>
      </c>
      <c r="F150" s="5" t="s">
        <v>15</v>
      </c>
      <c r="G150" s="5">
        <f t="shared" ca="1" si="4"/>
        <v>503</v>
      </c>
      <c r="H150" s="5">
        <f t="shared" ca="1" si="5"/>
        <v>11</v>
      </c>
      <c r="I150" s="5">
        <v>262</v>
      </c>
      <c r="J150" s="5">
        <v>8</v>
      </c>
      <c r="K150" s="5">
        <f ca="1">VLOOKUP(A150,'Kealing Site'!$A$2:$E$338,5,FALSE)</f>
        <v>241</v>
      </c>
      <c r="L150" s="5">
        <f ca="1">VLOOKUP(A150,'Kealing Site'!$A$2:$F$338,6,FALSE)</f>
        <v>3</v>
      </c>
    </row>
    <row r="151" spans="1:12" hidden="1">
      <c r="A151" s="16">
        <v>20042</v>
      </c>
      <c r="B151" s="16" t="str">
        <f>VLOOKUP(A151,'Reg Sheet'!A$2:F$357,6,FALSE)</f>
        <v>HS</v>
      </c>
      <c r="C151" s="4" t="s">
        <v>169</v>
      </c>
      <c r="D151" s="4" t="s">
        <v>128</v>
      </c>
      <c r="E151" s="4" t="str">
        <f>VLOOKUP(A151,'Reg Sheet'!A$2:G$357,7,FALSE)</f>
        <v>9th</v>
      </c>
      <c r="F151" s="5" t="s">
        <v>15</v>
      </c>
      <c r="G151" s="5" t="e">
        <f t="shared" ca="1" si="4"/>
        <v>#N/A</v>
      </c>
      <c r="H151" s="5" t="e">
        <f t="shared" ca="1" si="5"/>
        <v>#N/A</v>
      </c>
      <c r="I151" s="5">
        <v>245</v>
      </c>
      <c r="J151" s="5">
        <v>3</v>
      </c>
      <c r="K151" s="5" t="e">
        <f ca="1">VLOOKUP(A151,'Kealing Site'!$A$2:$E$338,5,FALSE)</f>
        <v>#N/A</v>
      </c>
      <c r="L151" s="5" t="e">
        <f ca="1">VLOOKUP(A151,'Kealing Site'!$A$2:$F$338,6,FALSE)</f>
        <v>#N/A</v>
      </c>
    </row>
    <row r="152" spans="1:12" hidden="1">
      <c r="A152" s="16">
        <v>20043</v>
      </c>
      <c r="B152" s="16" t="str">
        <f>VLOOKUP(A152,'Reg Sheet'!A$2:F$357,6,FALSE)</f>
        <v>HS</v>
      </c>
      <c r="C152" s="4" t="s">
        <v>170</v>
      </c>
      <c r="D152" s="4" t="s">
        <v>128</v>
      </c>
      <c r="E152" s="4" t="str">
        <f>VLOOKUP(A152,'Reg Sheet'!A$2:G$357,7,FALSE)</f>
        <v>10th</v>
      </c>
      <c r="F152" s="5" t="s">
        <v>15</v>
      </c>
      <c r="G152" s="5">
        <f t="shared" ca="1" si="4"/>
        <v>551</v>
      </c>
      <c r="H152" s="5">
        <f t="shared" ca="1" si="5"/>
        <v>27</v>
      </c>
      <c r="I152" s="5">
        <v>278</v>
      </c>
      <c r="J152" s="5">
        <v>15</v>
      </c>
      <c r="K152" s="5">
        <f ca="1">VLOOKUP(A152,'Kealing Site'!$A$2:$E$338,5,FALSE)</f>
        <v>273</v>
      </c>
      <c r="L152" s="5">
        <f ca="1">VLOOKUP(A152,'Kealing Site'!$A$2:$F$338,6,FALSE)</f>
        <v>12</v>
      </c>
    </row>
    <row r="153" spans="1:12" hidden="1">
      <c r="A153" s="16">
        <v>20044</v>
      </c>
      <c r="B153" s="16" t="str">
        <f>VLOOKUP(A153,'Reg Sheet'!A$2:F$357,6,FALSE)</f>
        <v>MS</v>
      </c>
      <c r="C153" s="4" t="s">
        <v>171</v>
      </c>
      <c r="D153" s="4" t="s">
        <v>128</v>
      </c>
      <c r="E153" s="4" t="str">
        <f>VLOOKUP(A153,'Reg Sheet'!A$2:G$357,7,FALSE)</f>
        <v>8th</v>
      </c>
      <c r="F153" s="5" t="s">
        <v>15</v>
      </c>
      <c r="G153" s="5">
        <f t="shared" ca="1" si="4"/>
        <v>531</v>
      </c>
      <c r="H153" s="5">
        <f t="shared" ca="1" si="5"/>
        <v>15</v>
      </c>
      <c r="I153" s="5">
        <v>266</v>
      </c>
      <c r="J153" s="5">
        <v>7</v>
      </c>
      <c r="K153" s="5">
        <f ca="1">VLOOKUP(A153,'Kealing Site'!$A$2:$E$338,5,FALSE)</f>
        <v>265</v>
      </c>
      <c r="L153" s="5">
        <f ca="1">VLOOKUP(A153,'Kealing Site'!$A$2:$F$338,6,FALSE)</f>
        <v>8</v>
      </c>
    </row>
    <row r="154" spans="1:12" hidden="1">
      <c r="A154" s="16">
        <v>20045</v>
      </c>
      <c r="B154" s="16" t="str">
        <f>VLOOKUP(A154,'Reg Sheet'!A$2:F$357,6,FALSE)</f>
        <v>HS</v>
      </c>
      <c r="C154" s="4" t="s">
        <v>172</v>
      </c>
      <c r="D154" s="4" t="s">
        <v>128</v>
      </c>
      <c r="E154" s="4" t="str">
        <f>VLOOKUP(A154,'Reg Sheet'!A$2:G$357,7,FALSE)</f>
        <v>12th</v>
      </c>
      <c r="F154" s="5" t="s">
        <v>15</v>
      </c>
      <c r="G154" s="5">
        <f t="shared" ca="1" si="4"/>
        <v>480</v>
      </c>
      <c r="H154" s="5">
        <f t="shared" ca="1" si="5"/>
        <v>10</v>
      </c>
      <c r="I154" s="5">
        <v>251</v>
      </c>
      <c r="J154" s="5">
        <v>7</v>
      </c>
      <c r="K154" s="5">
        <f ca="1">VLOOKUP(A154,'Kealing Site'!$A$2:$E$338,5,FALSE)</f>
        <v>229</v>
      </c>
      <c r="L154" s="5">
        <f ca="1">VLOOKUP(A154,'Kealing Site'!$A$2:$F$338,6,FALSE)</f>
        <v>3</v>
      </c>
    </row>
    <row r="155" spans="1:12" hidden="1">
      <c r="A155" s="16">
        <v>20046</v>
      </c>
      <c r="B155" s="16" t="str">
        <f>VLOOKUP(A155,'Reg Sheet'!A$2:F$357,6,FALSE)</f>
        <v>HS</v>
      </c>
      <c r="C155" s="4" t="s">
        <v>173</v>
      </c>
      <c r="D155" s="4" t="s">
        <v>128</v>
      </c>
      <c r="E155" s="4" t="str">
        <f>VLOOKUP(A155,'Reg Sheet'!A$2:G$357,7,FALSE)</f>
        <v>9th</v>
      </c>
      <c r="F155" s="5" t="s">
        <v>15</v>
      </c>
      <c r="G155" s="5">
        <f t="shared" ca="1" si="4"/>
        <v>473</v>
      </c>
      <c r="H155" s="5">
        <f t="shared" ca="1" si="5"/>
        <v>11</v>
      </c>
      <c r="I155" s="5">
        <v>230</v>
      </c>
      <c r="J155" s="5">
        <v>4</v>
      </c>
      <c r="K155" s="5">
        <f ca="1">VLOOKUP(A155,'Kealing Site'!$A$2:$E$338,5,FALSE)</f>
        <v>243</v>
      </c>
      <c r="L155" s="5">
        <f ca="1">VLOOKUP(A155,'Kealing Site'!$A$2:$F$338,6,FALSE)</f>
        <v>7</v>
      </c>
    </row>
    <row r="156" spans="1:12" hidden="1">
      <c r="A156" s="16">
        <v>20047</v>
      </c>
      <c r="B156" s="16" t="str">
        <f>VLOOKUP(A156,'Reg Sheet'!A$2:F$357,6,FALSE)</f>
        <v>MS</v>
      </c>
      <c r="C156" s="4" t="s">
        <v>174</v>
      </c>
      <c r="D156" s="4" t="s">
        <v>128</v>
      </c>
      <c r="E156" s="4" t="str">
        <f>VLOOKUP(A156,'Reg Sheet'!A$2:G$357,7,FALSE)</f>
        <v>8th</v>
      </c>
      <c r="F156" s="5" t="s">
        <v>15</v>
      </c>
      <c r="G156" s="5">
        <f t="shared" ca="1" si="4"/>
        <v>504</v>
      </c>
      <c r="H156" s="5">
        <f t="shared" ca="1" si="5"/>
        <v>12</v>
      </c>
      <c r="I156" s="5">
        <v>259</v>
      </c>
      <c r="J156" s="5">
        <v>9</v>
      </c>
      <c r="K156" s="5">
        <f ca="1">VLOOKUP(A156,'Kealing Site'!$A$2:$E$338,5,FALSE)</f>
        <v>245</v>
      </c>
      <c r="L156" s="5">
        <f ca="1">VLOOKUP(A156,'Kealing Site'!$A$2:$F$338,6,FALSE)</f>
        <v>3</v>
      </c>
    </row>
    <row r="157" spans="1:12" hidden="1">
      <c r="A157" s="16">
        <v>20048</v>
      </c>
      <c r="B157" s="16" t="str">
        <f>VLOOKUP(A157,'Reg Sheet'!A$2:F$357,6,FALSE)</f>
        <v>MS</v>
      </c>
      <c r="C157" s="4" t="s">
        <v>175</v>
      </c>
      <c r="D157" s="4" t="s">
        <v>128</v>
      </c>
      <c r="E157" s="4" t="str">
        <f>VLOOKUP(A157,'Reg Sheet'!A$2:G$357,7,FALSE)</f>
        <v>6th</v>
      </c>
      <c r="F157" s="5" t="s">
        <v>15</v>
      </c>
      <c r="G157" s="5">
        <f t="shared" ca="1" si="4"/>
        <v>485</v>
      </c>
      <c r="H157" s="5">
        <f t="shared" ca="1" si="5"/>
        <v>8</v>
      </c>
      <c r="I157" s="5">
        <v>255</v>
      </c>
      <c r="J157" s="5">
        <v>6</v>
      </c>
      <c r="K157" s="5">
        <f ca="1">VLOOKUP(A157,'Kealing Site'!$A$2:$E$338,5,FALSE)</f>
        <v>230</v>
      </c>
      <c r="L157" s="5">
        <f ca="1">VLOOKUP(A157,'Kealing Site'!$A$2:$F$338,6,FALSE)</f>
        <v>2</v>
      </c>
    </row>
    <row r="158" spans="1:12" hidden="1">
      <c r="A158" s="16">
        <v>20049</v>
      </c>
      <c r="B158" s="16" t="str">
        <f>VLOOKUP(A158,'Reg Sheet'!A$2:F$357,6,FALSE)</f>
        <v>HS</v>
      </c>
      <c r="C158" s="4" t="s">
        <v>176</v>
      </c>
      <c r="D158" s="4" t="s">
        <v>128</v>
      </c>
      <c r="E158" s="4" t="str">
        <f>VLOOKUP(A158,'Reg Sheet'!A$2:G$357,7,FALSE)</f>
        <v>9th</v>
      </c>
      <c r="F158" s="5" t="s">
        <v>15</v>
      </c>
      <c r="G158" s="5" t="e">
        <f t="shared" ca="1" si="4"/>
        <v>#N/A</v>
      </c>
      <c r="H158" s="5" t="e">
        <f t="shared" ca="1" si="5"/>
        <v>#N/A</v>
      </c>
      <c r="I158" s="5" t="e">
        <v>#N/A</v>
      </c>
      <c r="J158" s="5" t="e">
        <v>#N/A</v>
      </c>
      <c r="K158" s="5">
        <f ca="1">VLOOKUP(A158,'Kealing Site'!$A$2:$E$338,5,FALSE)</f>
        <v>178</v>
      </c>
      <c r="L158" s="5">
        <f ca="1">VLOOKUP(A158,'Kealing Site'!$A$2:$F$338,6,FALSE)</f>
        <v>0</v>
      </c>
    </row>
    <row r="159" spans="1:12" hidden="1">
      <c r="A159" s="16">
        <v>20050</v>
      </c>
      <c r="B159" s="16" t="str">
        <f>VLOOKUP(A159,'Reg Sheet'!A$2:F$357,6,FALSE)</f>
        <v>HS</v>
      </c>
      <c r="C159" s="4" t="s">
        <v>177</v>
      </c>
      <c r="D159" s="4" t="s">
        <v>128</v>
      </c>
      <c r="E159" s="4" t="str">
        <f>VLOOKUP(A159,'Reg Sheet'!A$2:G$357,7,FALSE)</f>
        <v>9th</v>
      </c>
      <c r="F159" s="5" t="s">
        <v>15</v>
      </c>
      <c r="G159" s="5" t="e">
        <f t="shared" ca="1" si="4"/>
        <v>#N/A</v>
      </c>
      <c r="H159" s="5" t="e">
        <f t="shared" ca="1" si="5"/>
        <v>#N/A</v>
      </c>
      <c r="I159" s="5">
        <v>198</v>
      </c>
      <c r="J159" s="5">
        <v>2</v>
      </c>
      <c r="K159" s="5" t="e">
        <f ca="1">VLOOKUP(A159,'Kealing Site'!$A$2:$E$338,5,FALSE)</f>
        <v>#N/A</v>
      </c>
      <c r="L159" s="5" t="e">
        <f ca="1">VLOOKUP(A159,'Kealing Site'!$A$2:$F$338,6,FALSE)</f>
        <v>#N/A</v>
      </c>
    </row>
    <row r="160" spans="1:12" hidden="1">
      <c r="A160" s="16">
        <v>20051</v>
      </c>
      <c r="B160" s="16" t="str">
        <f>VLOOKUP(A160,'Reg Sheet'!A$2:F$357,6,FALSE)</f>
        <v>MS</v>
      </c>
      <c r="C160" s="4" t="s">
        <v>178</v>
      </c>
      <c r="D160" s="4" t="s">
        <v>128</v>
      </c>
      <c r="E160" s="4" t="str">
        <f>VLOOKUP(A160,'Reg Sheet'!A$2:G$357,7,FALSE)</f>
        <v>7th</v>
      </c>
      <c r="F160" s="5" t="s">
        <v>15</v>
      </c>
      <c r="G160" s="5">
        <f t="shared" ca="1" si="4"/>
        <v>455</v>
      </c>
      <c r="H160" s="5">
        <f t="shared" ca="1" si="5"/>
        <v>7</v>
      </c>
      <c r="I160" s="5">
        <v>215</v>
      </c>
      <c r="J160" s="5">
        <v>3</v>
      </c>
      <c r="K160" s="5">
        <f ca="1">VLOOKUP(A160,'Kealing Site'!$A$2:$E$338,5,FALSE)</f>
        <v>240</v>
      </c>
      <c r="L160" s="5">
        <f ca="1">VLOOKUP(A160,'Kealing Site'!$A$2:$F$338,6,FALSE)</f>
        <v>4</v>
      </c>
    </row>
    <row r="161" spans="1:12" hidden="1">
      <c r="A161" s="16">
        <v>20052</v>
      </c>
      <c r="B161" s="16" t="str">
        <f>VLOOKUP(A161,'Reg Sheet'!A$2:F$357,6,FALSE)</f>
        <v>MS</v>
      </c>
      <c r="C161" s="4" t="s">
        <v>179</v>
      </c>
      <c r="D161" s="4" t="s">
        <v>128</v>
      </c>
      <c r="E161" s="4" t="str">
        <f>VLOOKUP(A161,'Reg Sheet'!A$2:G$357,7,FALSE)</f>
        <v>8th</v>
      </c>
      <c r="F161" s="5" t="s">
        <v>15</v>
      </c>
      <c r="G161" s="5">
        <f t="shared" ca="1" si="4"/>
        <v>318</v>
      </c>
      <c r="H161" s="5">
        <f t="shared" ca="1" si="5"/>
        <v>1</v>
      </c>
      <c r="I161" s="5">
        <v>165</v>
      </c>
      <c r="J161" s="5">
        <v>0</v>
      </c>
      <c r="K161" s="5">
        <f ca="1">VLOOKUP(A161,'Kealing Site'!$A$2:$E$338,5,FALSE)</f>
        <v>153</v>
      </c>
      <c r="L161" s="5">
        <f ca="1">VLOOKUP(A161,'Kealing Site'!$A$2:$F$338,6,FALSE)</f>
        <v>1</v>
      </c>
    </row>
    <row r="162" spans="1:12" hidden="1">
      <c r="A162" s="16">
        <v>20053</v>
      </c>
      <c r="B162" s="16" t="str">
        <f>VLOOKUP(A162,'Reg Sheet'!A$2:F$357,6,FALSE)</f>
        <v>MS</v>
      </c>
      <c r="C162" s="4" t="s">
        <v>180</v>
      </c>
      <c r="D162" s="4" t="s">
        <v>128</v>
      </c>
      <c r="E162" s="4" t="str">
        <f>VLOOKUP(A162,'Reg Sheet'!A$2:G$357,7,FALSE)</f>
        <v>6th</v>
      </c>
      <c r="F162" s="5" t="s">
        <v>15</v>
      </c>
      <c r="G162" s="5">
        <f t="shared" ca="1" si="4"/>
        <v>505</v>
      </c>
      <c r="H162" s="5">
        <f t="shared" ca="1" si="5"/>
        <v>15</v>
      </c>
      <c r="I162" s="5">
        <v>253</v>
      </c>
      <c r="J162" s="5">
        <v>8</v>
      </c>
      <c r="K162" s="5">
        <f ca="1">VLOOKUP(A162,'Kealing Site'!$A$2:$E$338,5,FALSE)</f>
        <v>252</v>
      </c>
      <c r="L162" s="5">
        <f ca="1">VLOOKUP(A162,'Kealing Site'!$A$2:$F$338,6,FALSE)</f>
        <v>7</v>
      </c>
    </row>
    <row r="163" spans="1:12" hidden="1">
      <c r="A163" s="16">
        <v>20054</v>
      </c>
      <c r="B163" s="16" t="str">
        <f>VLOOKUP(A163,'Reg Sheet'!A$2:F$357,6,FALSE)</f>
        <v>HS</v>
      </c>
      <c r="C163" s="4" t="s">
        <v>181</v>
      </c>
      <c r="D163" s="4" t="s">
        <v>128</v>
      </c>
      <c r="E163" s="4" t="str">
        <f>VLOOKUP(A163,'Reg Sheet'!A$2:G$357,7,FALSE)</f>
        <v>9th</v>
      </c>
      <c r="F163" s="5" t="s">
        <v>15</v>
      </c>
      <c r="G163" s="5">
        <f t="shared" ca="1" si="4"/>
        <v>474</v>
      </c>
      <c r="H163" s="5">
        <f t="shared" ca="1" si="5"/>
        <v>8</v>
      </c>
      <c r="I163" s="5">
        <v>243</v>
      </c>
      <c r="J163" s="5">
        <v>6</v>
      </c>
      <c r="K163" s="5">
        <f ca="1">VLOOKUP(A163,'Kealing Site'!$A$2:$E$338,5,FALSE)</f>
        <v>231</v>
      </c>
      <c r="L163" s="5">
        <f ca="1">VLOOKUP(A163,'Kealing Site'!$A$2:$F$338,6,FALSE)</f>
        <v>2</v>
      </c>
    </row>
    <row r="164" spans="1:12" hidden="1">
      <c r="A164" s="16">
        <v>20055</v>
      </c>
      <c r="B164" s="16" t="str">
        <f>VLOOKUP(A164,'Reg Sheet'!A$2:F$357,6,FALSE)</f>
        <v>MS</v>
      </c>
      <c r="C164" s="4" t="s">
        <v>182</v>
      </c>
      <c r="D164" s="4" t="s">
        <v>128</v>
      </c>
      <c r="E164" s="4" t="str">
        <f>VLOOKUP(A164,'Reg Sheet'!A$2:G$357,7,FALSE)</f>
        <v>6th</v>
      </c>
      <c r="F164" s="5" t="s">
        <v>15</v>
      </c>
      <c r="G164" s="5">
        <f t="shared" ca="1" si="4"/>
        <v>362</v>
      </c>
      <c r="H164" s="5">
        <f t="shared" ca="1" si="5"/>
        <v>0</v>
      </c>
      <c r="I164" s="5">
        <v>166</v>
      </c>
      <c r="J164" s="5">
        <v>0</v>
      </c>
      <c r="K164" s="5">
        <f ca="1">VLOOKUP(A164,'Kealing Site'!$A$2:$E$338,5,FALSE)</f>
        <v>196</v>
      </c>
      <c r="L164" s="5">
        <f ca="1">VLOOKUP(A164,'Kealing Site'!$A$2:$F$338,6,FALSE)</f>
        <v>0</v>
      </c>
    </row>
    <row r="165" spans="1:12" hidden="1">
      <c r="A165" s="16">
        <v>20056</v>
      </c>
      <c r="B165" s="16" t="str">
        <f>VLOOKUP(A165,'Reg Sheet'!A$2:F$357,6,FALSE)</f>
        <v>MS</v>
      </c>
      <c r="C165" s="4" t="s">
        <v>183</v>
      </c>
      <c r="D165" s="4" t="s">
        <v>128</v>
      </c>
      <c r="E165" s="4" t="str">
        <f>VLOOKUP(A165,'Reg Sheet'!A$2:G$357,7,FALSE)</f>
        <v>8th</v>
      </c>
      <c r="F165" s="5" t="s">
        <v>15</v>
      </c>
      <c r="G165" s="5">
        <f t="shared" ca="1" si="4"/>
        <v>481</v>
      </c>
      <c r="H165" s="5">
        <f t="shared" ca="1" si="5"/>
        <v>13</v>
      </c>
      <c r="I165" s="5">
        <v>249</v>
      </c>
      <c r="J165" s="5">
        <v>8</v>
      </c>
      <c r="K165" s="5">
        <f ca="1">VLOOKUP(A165,'Kealing Site'!$A$2:$E$338,5,FALSE)</f>
        <v>232</v>
      </c>
      <c r="L165" s="5">
        <f ca="1">VLOOKUP(A165,'Kealing Site'!$A$2:$F$338,6,FALSE)</f>
        <v>5</v>
      </c>
    </row>
    <row r="166" spans="1:12" hidden="1">
      <c r="A166" s="16">
        <v>20057</v>
      </c>
      <c r="B166" s="16" t="str">
        <f>VLOOKUP(A166,'Reg Sheet'!A$2:F$357,6,FALSE)</f>
        <v>MS</v>
      </c>
      <c r="C166" s="4" t="s">
        <v>184</v>
      </c>
      <c r="D166" s="4" t="s">
        <v>128</v>
      </c>
      <c r="E166" s="4" t="str">
        <f>VLOOKUP(A166,'Reg Sheet'!A$2:G$357,7,FALSE)</f>
        <v>8th</v>
      </c>
      <c r="F166" s="5" t="s">
        <v>15</v>
      </c>
      <c r="G166" s="5">
        <f t="shared" ca="1" si="4"/>
        <v>468</v>
      </c>
      <c r="H166" s="5">
        <f t="shared" ca="1" si="5"/>
        <v>11</v>
      </c>
      <c r="I166" s="5">
        <v>220</v>
      </c>
      <c r="J166" s="5">
        <v>5</v>
      </c>
      <c r="K166" s="5">
        <f ca="1">VLOOKUP(A166,'Kealing Site'!$A$2:$E$338,5,FALSE)</f>
        <v>248</v>
      </c>
      <c r="L166" s="5">
        <f ca="1">VLOOKUP(A166,'Kealing Site'!$A$2:$F$338,6,FALSE)</f>
        <v>6</v>
      </c>
    </row>
    <row r="167" spans="1:12" hidden="1">
      <c r="A167" s="16">
        <v>30001</v>
      </c>
      <c r="B167" s="16" t="str">
        <f>VLOOKUP(A167,'Reg Sheet'!A$2:F$357,6,FALSE)</f>
        <v>HS</v>
      </c>
      <c r="C167" s="4" t="s">
        <v>185</v>
      </c>
      <c r="D167" s="4" t="s">
        <v>186</v>
      </c>
      <c r="E167" s="4" t="str">
        <f>VLOOKUP(A167,'Reg Sheet'!A$2:G$357,7,FALSE)</f>
        <v>11th</v>
      </c>
      <c r="F167" s="5" t="s">
        <v>15</v>
      </c>
      <c r="G167" s="5">
        <f t="shared" ca="1" si="4"/>
        <v>451</v>
      </c>
      <c r="H167" s="5">
        <f t="shared" ca="1" si="5"/>
        <v>8</v>
      </c>
      <c r="I167" s="5">
        <v>219</v>
      </c>
      <c r="J167" s="5">
        <v>4</v>
      </c>
      <c r="K167" s="5">
        <f ca="1">VLOOKUP(A167,'Kealing Site'!$A$2:$E$338,5,FALSE)</f>
        <v>232</v>
      </c>
      <c r="L167" s="5">
        <f ca="1">VLOOKUP(A167,'Kealing Site'!$A$2:$F$338,6,FALSE)</f>
        <v>4</v>
      </c>
    </row>
    <row r="168" spans="1:12" hidden="1">
      <c r="A168" s="16">
        <v>30002</v>
      </c>
      <c r="B168" s="16" t="str">
        <f>VLOOKUP(A168,'Reg Sheet'!A$2:F$357,6,FALSE)</f>
        <v>HS</v>
      </c>
      <c r="C168" s="4" t="s">
        <v>187</v>
      </c>
      <c r="D168" s="4" t="s">
        <v>186</v>
      </c>
      <c r="E168" s="4" t="str">
        <f>VLOOKUP(A168,'Reg Sheet'!A$2:G$357,7,FALSE)</f>
        <v>10th</v>
      </c>
      <c r="F168" s="5" t="s">
        <v>15</v>
      </c>
      <c r="G168" s="5">
        <f t="shared" ca="1" si="4"/>
        <v>460</v>
      </c>
      <c r="H168" s="5">
        <f t="shared" ca="1" si="5"/>
        <v>7</v>
      </c>
      <c r="I168" s="5">
        <v>231</v>
      </c>
      <c r="J168" s="5">
        <v>3</v>
      </c>
      <c r="K168" s="5">
        <f ca="1">VLOOKUP(A168,'Kealing Site'!$A$2:$E$338,5,FALSE)</f>
        <v>229</v>
      </c>
      <c r="L168" s="5">
        <f ca="1">VLOOKUP(A168,'Kealing Site'!$A$2:$F$338,6,FALSE)</f>
        <v>4</v>
      </c>
    </row>
    <row r="169" spans="1:12" hidden="1">
      <c r="A169" s="16">
        <v>30003</v>
      </c>
      <c r="B169" s="16" t="str">
        <f>VLOOKUP(A169,'Reg Sheet'!A$2:F$357,6,FALSE)</f>
        <v>HS</v>
      </c>
      <c r="C169" s="4" t="s">
        <v>188</v>
      </c>
      <c r="D169" s="4" t="s">
        <v>186</v>
      </c>
      <c r="E169" s="4" t="str">
        <f>VLOOKUP(A169,'Reg Sheet'!A$2:G$357,7,FALSE)</f>
        <v>10th</v>
      </c>
      <c r="F169" s="5" t="s">
        <v>15</v>
      </c>
      <c r="G169" s="5">
        <f t="shared" ca="1" si="4"/>
        <v>385</v>
      </c>
      <c r="H169" s="5">
        <f t="shared" ca="1" si="5"/>
        <v>9</v>
      </c>
      <c r="I169" s="5">
        <v>205</v>
      </c>
      <c r="J169" s="5">
        <v>4</v>
      </c>
      <c r="K169" s="5">
        <f ca="1">VLOOKUP(A169,'Kealing Site'!$A$2:$E$338,5,FALSE)</f>
        <v>180</v>
      </c>
      <c r="L169" s="5">
        <f ca="1">VLOOKUP(A169,'Kealing Site'!$A$2:$F$338,6,FALSE)</f>
        <v>5</v>
      </c>
    </row>
    <row r="170" spans="1:12" hidden="1">
      <c r="A170" s="16">
        <v>30004</v>
      </c>
      <c r="B170" s="16" t="str">
        <f>VLOOKUP(A170,'Reg Sheet'!A$2:F$357,6,FALSE)</f>
        <v>HS</v>
      </c>
      <c r="C170" s="4" t="s">
        <v>189</v>
      </c>
      <c r="D170" s="4" t="s">
        <v>186</v>
      </c>
      <c r="E170" s="4" t="str">
        <f>VLOOKUP(A170,'Reg Sheet'!A$2:G$357,7,FALSE)</f>
        <v>9th</v>
      </c>
      <c r="F170" s="5" t="s">
        <v>13</v>
      </c>
      <c r="G170" s="5" t="e">
        <f t="shared" ca="1" si="4"/>
        <v>#N/A</v>
      </c>
      <c r="H170" s="5" t="e">
        <f t="shared" ca="1" si="5"/>
        <v>#N/A</v>
      </c>
      <c r="I170" s="5" t="e">
        <v>#N/A</v>
      </c>
      <c r="J170" s="5" t="e">
        <v>#N/A</v>
      </c>
      <c r="K170" s="5">
        <f ca="1">VLOOKUP(A170,'Kealing Site'!$A$2:$E$338,5,FALSE)</f>
        <v>218</v>
      </c>
      <c r="L170" s="5">
        <f ca="1">VLOOKUP(A170,'Kealing Site'!$A$2:$F$338,6,FALSE)</f>
        <v>3</v>
      </c>
    </row>
    <row r="171" spans="1:12" hidden="1">
      <c r="A171" s="16">
        <v>30005</v>
      </c>
      <c r="B171" s="16" t="str">
        <f>VLOOKUP(A171,'Reg Sheet'!A$2:F$357,6,FALSE)</f>
        <v>HS</v>
      </c>
      <c r="C171" s="4" t="s">
        <v>190</v>
      </c>
      <c r="D171" s="4" t="s">
        <v>186</v>
      </c>
      <c r="E171" s="4" t="str">
        <f>VLOOKUP(A171,'Reg Sheet'!A$2:G$357,7,FALSE)</f>
        <v>11th</v>
      </c>
      <c r="F171" s="5" t="s">
        <v>13</v>
      </c>
      <c r="G171" s="5">
        <f t="shared" ca="1" si="4"/>
        <v>440</v>
      </c>
      <c r="H171" s="5">
        <f t="shared" ca="1" si="5"/>
        <v>4</v>
      </c>
      <c r="I171" s="5">
        <v>220</v>
      </c>
      <c r="J171" s="5">
        <v>1</v>
      </c>
      <c r="K171" s="5">
        <f ca="1">VLOOKUP(A171,'Kealing Site'!$A$2:$E$338,5,FALSE)</f>
        <v>220</v>
      </c>
      <c r="L171" s="5">
        <f ca="1">VLOOKUP(A171,'Kealing Site'!$A$2:$F$338,6,FALSE)</f>
        <v>3</v>
      </c>
    </row>
    <row r="172" spans="1:12" hidden="1">
      <c r="A172" s="16">
        <v>30006</v>
      </c>
      <c r="B172" s="16" t="str">
        <f>VLOOKUP(A172,'Reg Sheet'!A$2:F$357,6,FALSE)</f>
        <v>HS</v>
      </c>
      <c r="C172" s="4" t="s">
        <v>191</v>
      </c>
      <c r="D172" s="4" t="s">
        <v>186</v>
      </c>
      <c r="E172" s="4" t="str">
        <f>VLOOKUP(A172,'Reg Sheet'!A$2:G$357,7,FALSE)</f>
        <v>9th</v>
      </c>
      <c r="F172" s="5" t="s">
        <v>13</v>
      </c>
      <c r="G172" s="5" t="e">
        <f t="shared" ca="1" si="4"/>
        <v>#N/A</v>
      </c>
      <c r="H172" s="5" t="e">
        <f t="shared" ca="1" si="5"/>
        <v>#N/A</v>
      </c>
      <c r="I172" s="5" t="e">
        <v>#N/A</v>
      </c>
      <c r="J172" s="5" t="e">
        <v>#N/A</v>
      </c>
      <c r="K172" s="5">
        <f ca="1">VLOOKUP(A172,'Kealing Site'!$A$2:$E$338,5,FALSE)</f>
        <v>224</v>
      </c>
      <c r="L172" s="5">
        <f ca="1">VLOOKUP(A172,'Kealing Site'!$A$2:$F$338,6,FALSE)</f>
        <v>1</v>
      </c>
    </row>
    <row r="173" spans="1:12" hidden="1">
      <c r="A173" s="16">
        <v>30007</v>
      </c>
      <c r="B173" s="16" t="str">
        <f>VLOOKUP(A173,'Reg Sheet'!A$2:F$357,6,FALSE)</f>
        <v>HS</v>
      </c>
      <c r="C173" s="4" t="s">
        <v>192</v>
      </c>
      <c r="D173" s="4" t="s">
        <v>186</v>
      </c>
      <c r="E173" s="4" t="str">
        <f>VLOOKUP(A173,'Reg Sheet'!A$2:G$357,7,FALSE)</f>
        <v>11th</v>
      </c>
      <c r="F173" s="5" t="s">
        <v>13</v>
      </c>
      <c r="G173" s="5">
        <f t="shared" ca="1" si="4"/>
        <v>511</v>
      </c>
      <c r="H173" s="5">
        <f t="shared" ca="1" si="5"/>
        <v>11</v>
      </c>
      <c r="I173" s="5">
        <v>258</v>
      </c>
      <c r="J173" s="5">
        <v>7</v>
      </c>
      <c r="K173" s="5">
        <f ca="1">VLOOKUP(A173,'Kealing Site'!$A$2:$E$338,5,FALSE)</f>
        <v>253</v>
      </c>
      <c r="L173" s="5">
        <f ca="1">VLOOKUP(A173,'Kealing Site'!$A$2:$F$338,6,FALSE)</f>
        <v>4</v>
      </c>
    </row>
    <row r="174" spans="1:12" hidden="1">
      <c r="A174" s="16">
        <v>30008</v>
      </c>
      <c r="B174" s="16" t="str">
        <f>VLOOKUP(A174,'Reg Sheet'!A$2:F$357,6,FALSE)</f>
        <v>HS</v>
      </c>
      <c r="C174" s="4" t="s">
        <v>193</v>
      </c>
      <c r="D174" s="4" t="s">
        <v>186</v>
      </c>
      <c r="E174" s="4" t="str">
        <f>VLOOKUP(A174,'Reg Sheet'!A$2:G$357,7,FALSE)</f>
        <v>10th</v>
      </c>
      <c r="F174" s="5" t="s">
        <v>13</v>
      </c>
      <c r="G174" s="5">
        <f t="shared" ca="1" si="4"/>
        <v>370</v>
      </c>
      <c r="H174" s="5">
        <f t="shared" ca="1" si="5"/>
        <v>1</v>
      </c>
      <c r="I174" s="5">
        <v>175</v>
      </c>
      <c r="J174" s="5">
        <v>0</v>
      </c>
      <c r="K174" s="5">
        <f ca="1">VLOOKUP(A174,'Kealing Site'!$A$2:$E$338,5,FALSE)</f>
        <v>195</v>
      </c>
      <c r="L174" s="5">
        <f ca="1">VLOOKUP(A174,'Kealing Site'!$A$2:$F$338,6,FALSE)</f>
        <v>1</v>
      </c>
    </row>
    <row r="175" spans="1:12" hidden="1">
      <c r="A175" s="16">
        <v>30009</v>
      </c>
      <c r="B175" s="16" t="str">
        <f>VLOOKUP(A175,'Reg Sheet'!A$2:F$357,6,FALSE)</f>
        <v>HS</v>
      </c>
      <c r="C175" s="4" t="s">
        <v>194</v>
      </c>
      <c r="D175" s="4" t="s">
        <v>186</v>
      </c>
      <c r="E175" s="4" t="str">
        <f>VLOOKUP(A175,'Reg Sheet'!A$2:G$357,7,FALSE)</f>
        <v>11th</v>
      </c>
      <c r="F175" s="5" t="s">
        <v>13</v>
      </c>
      <c r="G175" s="5">
        <f t="shared" ca="1" si="4"/>
        <v>393</v>
      </c>
      <c r="H175" s="5">
        <f t="shared" ca="1" si="5"/>
        <v>3</v>
      </c>
      <c r="I175" s="5">
        <v>207</v>
      </c>
      <c r="J175" s="5">
        <v>1</v>
      </c>
      <c r="K175" s="5">
        <f ca="1">VLOOKUP(A175,'Kealing Site'!$A$2:$E$338,5,FALSE)</f>
        <v>186</v>
      </c>
      <c r="L175" s="5">
        <f ca="1">VLOOKUP(A175,'Kealing Site'!$A$2:$F$338,6,FALSE)</f>
        <v>2</v>
      </c>
    </row>
    <row r="176" spans="1:12" hidden="1">
      <c r="A176" s="16">
        <v>30010</v>
      </c>
      <c r="B176" s="16" t="str">
        <f>VLOOKUP(A176,'Reg Sheet'!A$2:F$357,6,FALSE)</f>
        <v>HS</v>
      </c>
      <c r="C176" s="4" t="s">
        <v>195</v>
      </c>
      <c r="D176" s="4" t="s">
        <v>186</v>
      </c>
      <c r="E176" s="4" t="str">
        <f>VLOOKUP(A176,'Reg Sheet'!A$2:G$357,7,FALSE)</f>
        <v>10th</v>
      </c>
      <c r="F176" s="5" t="s">
        <v>15</v>
      </c>
      <c r="G176" s="5" t="e">
        <f t="shared" ca="1" si="4"/>
        <v>#N/A</v>
      </c>
      <c r="H176" s="5" t="e">
        <f t="shared" ca="1" si="5"/>
        <v>#N/A</v>
      </c>
      <c r="I176" s="5">
        <v>184</v>
      </c>
      <c r="J176" s="5">
        <v>1</v>
      </c>
      <c r="K176" s="5" t="e">
        <f ca="1">VLOOKUP(A176,'Kealing Site'!$A$2:$E$338,5,FALSE)</f>
        <v>#N/A</v>
      </c>
      <c r="L176" s="5" t="e">
        <f ca="1">VLOOKUP(A176,'Kealing Site'!$A$2:$F$338,6,FALSE)</f>
        <v>#N/A</v>
      </c>
    </row>
    <row r="177" spans="1:14" hidden="1">
      <c r="A177" s="16">
        <v>30011</v>
      </c>
      <c r="B177" s="16" t="str">
        <f>VLOOKUP(A177,'Reg Sheet'!A$2:F$357,6,FALSE)</f>
        <v>HS</v>
      </c>
      <c r="C177" s="4" t="s">
        <v>196</v>
      </c>
      <c r="D177" s="4" t="s">
        <v>186</v>
      </c>
      <c r="E177" s="4" t="str">
        <f>VLOOKUP(A177,'Reg Sheet'!A$2:G$357,7,FALSE)</f>
        <v>11th</v>
      </c>
      <c r="F177" s="5" t="s">
        <v>13</v>
      </c>
      <c r="G177" s="5">
        <f t="shared" ca="1" si="4"/>
        <v>544</v>
      </c>
      <c r="H177" s="5">
        <f t="shared" ca="1" si="5"/>
        <v>25</v>
      </c>
      <c r="I177" s="5">
        <v>273</v>
      </c>
      <c r="J177" s="5">
        <v>12</v>
      </c>
      <c r="K177" s="5">
        <f ca="1">VLOOKUP(A177,'Kealing Site'!$A$2:$E$338,5,FALSE)</f>
        <v>271</v>
      </c>
      <c r="L177" s="5">
        <f ca="1">VLOOKUP(A177,'Kealing Site'!$A$2:$F$338,6,FALSE)</f>
        <v>13</v>
      </c>
    </row>
    <row r="178" spans="1:14" hidden="1">
      <c r="A178" s="16">
        <v>30012</v>
      </c>
      <c r="B178" s="16" t="str">
        <f>VLOOKUP(A178,'Reg Sheet'!A$2:F$357,6,FALSE)</f>
        <v>HS</v>
      </c>
      <c r="C178" s="4" t="s">
        <v>197</v>
      </c>
      <c r="D178" s="4" t="s">
        <v>186</v>
      </c>
      <c r="E178" s="4" t="str">
        <f>VLOOKUP(A178,'Reg Sheet'!A$2:G$357,7,FALSE)</f>
        <v>9th</v>
      </c>
      <c r="F178" s="5" t="s">
        <v>13</v>
      </c>
      <c r="G178" s="5">
        <f t="shared" ca="1" si="4"/>
        <v>527</v>
      </c>
      <c r="H178" s="5">
        <f t="shared" ca="1" si="5"/>
        <v>15</v>
      </c>
      <c r="I178" s="5">
        <v>265</v>
      </c>
      <c r="J178" s="5">
        <v>6</v>
      </c>
      <c r="K178" s="5">
        <f ca="1">VLOOKUP(A178,'Kealing Site'!$A$2:$E$338,5,FALSE)</f>
        <v>262</v>
      </c>
      <c r="L178" s="5">
        <f ca="1">VLOOKUP(A178,'Kealing Site'!$A$2:$F$338,6,FALSE)</f>
        <v>9</v>
      </c>
    </row>
    <row r="179" spans="1:14" hidden="1">
      <c r="A179" s="16">
        <v>30013</v>
      </c>
      <c r="B179" s="16" t="str">
        <f>VLOOKUP(A179,'Reg Sheet'!A$2:F$357,6,FALSE)</f>
        <v>HS</v>
      </c>
      <c r="C179" s="4" t="s">
        <v>198</v>
      </c>
      <c r="D179" s="4" t="s">
        <v>186</v>
      </c>
      <c r="E179" s="4" t="str">
        <f>VLOOKUP(A179,'Reg Sheet'!A$2:G$357,7,FALSE)</f>
        <v>10th</v>
      </c>
      <c r="F179" s="5" t="s">
        <v>13</v>
      </c>
      <c r="G179" s="5">
        <f t="shared" ca="1" si="4"/>
        <v>405</v>
      </c>
      <c r="H179" s="5">
        <f t="shared" ca="1" si="5"/>
        <v>1</v>
      </c>
      <c r="I179" s="5">
        <v>215</v>
      </c>
      <c r="J179" s="5">
        <v>1</v>
      </c>
      <c r="K179" s="5">
        <f ca="1">VLOOKUP(A179,'Kealing Site'!$A$2:$E$338,5,FALSE)</f>
        <v>190</v>
      </c>
      <c r="L179" s="5">
        <f ca="1">VLOOKUP(A179,'Kealing Site'!$A$2:$F$338,6,FALSE)</f>
        <v>0</v>
      </c>
    </row>
    <row r="180" spans="1:14" hidden="1">
      <c r="A180" s="16">
        <v>30014</v>
      </c>
      <c r="B180" s="16" t="str">
        <f>VLOOKUP(A180,'Reg Sheet'!A$2:F$357,6,FALSE)</f>
        <v>HS</v>
      </c>
      <c r="C180" s="4" t="s">
        <v>199</v>
      </c>
      <c r="D180" s="4" t="s">
        <v>186</v>
      </c>
      <c r="E180" s="4" t="str">
        <f>VLOOKUP(A180,'Reg Sheet'!A$2:G$357,7,FALSE)</f>
        <v>10th</v>
      </c>
      <c r="F180" s="5" t="s">
        <v>15</v>
      </c>
      <c r="G180" s="5">
        <f t="shared" ca="1" si="4"/>
        <v>471</v>
      </c>
      <c r="H180" s="5">
        <f t="shared" ca="1" si="5"/>
        <v>7</v>
      </c>
      <c r="I180" s="5">
        <v>251</v>
      </c>
      <c r="J180" s="5">
        <v>5</v>
      </c>
      <c r="K180" s="5">
        <f ca="1">VLOOKUP(A180,'Kealing Site'!$A$2:$E$338,5,FALSE)</f>
        <v>220</v>
      </c>
      <c r="L180" s="5">
        <f ca="1">VLOOKUP(A180,'Kealing Site'!$A$2:$F$338,6,FALSE)</f>
        <v>2</v>
      </c>
    </row>
    <row r="181" spans="1:14" hidden="1">
      <c r="A181" s="16">
        <v>40001</v>
      </c>
      <c r="B181" s="16" t="str">
        <f>VLOOKUP(A181,'Reg Sheet'!A$2:F$357,6,FALSE)</f>
        <v>Elem</v>
      </c>
      <c r="C181" s="4" t="s">
        <v>200</v>
      </c>
      <c r="D181" s="4" t="s">
        <v>201</v>
      </c>
      <c r="E181" s="4" t="str">
        <f>VLOOKUP(A181,'Reg Sheet'!A$2:G$357,7,FALSE)</f>
        <v>4th</v>
      </c>
      <c r="F181" s="5" t="s">
        <v>15</v>
      </c>
      <c r="G181" s="5">
        <f t="shared" ca="1" si="4"/>
        <v>375</v>
      </c>
      <c r="H181" s="5">
        <f t="shared" ca="1" si="5"/>
        <v>4</v>
      </c>
      <c r="I181" s="5">
        <v>193</v>
      </c>
      <c r="J181" s="5">
        <v>3</v>
      </c>
      <c r="K181" s="5">
        <f ca="1">VLOOKUP(A181,'Kealing Site'!$A$2:$E$338,5,FALSE)</f>
        <v>182</v>
      </c>
      <c r="L181" s="5">
        <f ca="1">VLOOKUP(A181,'Kealing Site'!$A$2:$F$338,6,FALSE)</f>
        <v>1</v>
      </c>
    </row>
    <row r="182" spans="1:14" hidden="1">
      <c r="A182" s="16">
        <v>40002</v>
      </c>
      <c r="B182" s="16" t="str">
        <f>VLOOKUP(A182,'Reg Sheet'!A$2:F$357,6,FALSE)</f>
        <v>Elem</v>
      </c>
      <c r="C182" s="4" t="s">
        <v>202</v>
      </c>
      <c r="D182" s="4" t="s">
        <v>201</v>
      </c>
      <c r="E182" s="4" t="str">
        <f>VLOOKUP(A182,'Reg Sheet'!A$2:G$357,7,FALSE)</f>
        <v>4th</v>
      </c>
      <c r="F182" s="5" t="s">
        <v>15</v>
      </c>
      <c r="G182" s="5">
        <f t="shared" ca="1" si="4"/>
        <v>195</v>
      </c>
      <c r="H182" s="5">
        <f t="shared" ca="1" si="5"/>
        <v>2</v>
      </c>
      <c r="I182" s="5">
        <v>86</v>
      </c>
      <c r="J182" s="5">
        <v>2</v>
      </c>
      <c r="K182" s="5">
        <f ca="1">VLOOKUP(A182,'Kealing Site'!$A$2:$E$338,5,FALSE)</f>
        <v>109</v>
      </c>
      <c r="L182" s="5">
        <f ca="1">VLOOKUP(A182,'Kealing Site'!$A$2:$F$338,6,FALSE)</f>
        <v>0</v>
      </c>
    </row>
    <row r="183" spans="1:14" hidden="1">
      <c r="A183" s="16">
        <v>40003</v>
      </c>
      <c r="B183" s="16" t="str">
        <f>VLOOKUP(A183,'Reg Sheet'!A$2:F$357,6,FALSE)</f>
        <v>Elem</v>
      </c>
      <c r="C183" s="4" t="s">
        <v>203</v>
      </c>
      <c r="D183" s="4" t="s">
        <v>201</v>
      </c>
      <c r="E183" s="4" t="str">
        <f>VLOOKUP(A183,'Reg Sheet'!A$2:G$357,7,FALSE)</f>
        <v>4th</v>
      </c>
      <c r="F183" s="5" t="s">
        <v>15</v>
      </c>
      <c r="G183" s="5" t="e">
        <f t="shared" ca="1" si="4"/>
        <v>#N/A</v>
      </c>
      <c r="H183" s="5" t="e">
        <f t="shared" ca="1" si="5"/>
        <v>#N/A</v>
      </c>
      <c r="I183" s="5" t="e">
        <v>#N/A</v>
      </c>
      <c r="J183" s="5" t="e">
        <v>#N/A</v>
      </c>
      <c r="K183" s="5">
        <f ca="1">VLOOKUP(A183,'Kealing Site'!$A$2:$E$338,5,FALSE)</f>
        <v>139</v>
      </c>
      <c r="L183" s="5">
        <f ca="1">VLOOKUP(A183,'Kealing Site'!$A$2:$F$338,6,FALSE)</f>
        <v>0</v>
      </c>
    </row>
    <row r="184" spans="1:14" hidden="1">
      <c r="A184" s="16">
        <v>40004</v>
      </c>
      <c r="B184" s="16" t="str">
        <f>VLOOKUP(A184,'Reg Sheet'!A$2:F$357,6,FALSE)</f>
        <v>Elem</v>
      </c>
      <c r="C184" s="4" t="s">
        <v>204</v>
      </c>
      <c r="D184" s="4" t="s">
        <v>201</v>
      </c>
      <c r="E184" s="4" t="str">
        <f>VLOOKUP(A184,'Reg Sheet'!A$2:G$357,7,FALSE)</f>
        <v>5th</v>
      </c>
      <c r="F184" s="5" t="s">
        <v>13</v>
      </c>
      <c r="G184" s="5">
        <f t="shared" ca="1" si="4"/>
        <v>239</v>
      </c>
      <c r="H184" s="5">
        <f t="shared" ca="1" si="5"/>
        <v>1</v>
      </c>
      <c r="I184" s="5">
        <v>100</v>
      </c>
      <c r="J184" s="5">
        <v>0</v>
      </c>
      <c r="K184" s="5">
        <f ca="1">VLOOKUP(A184,'Kealing Site'!$A$2:$E$338,5,FALSE)</f>
        <v>139</v>
      </c>
      <c r="L184" s="5">
        <f ca="1">VLOOKUP(A184,'Kealing Site'!$A$2:$F$338,6,FALSE)</f>
        <v>1</v>
      </c>
    </row>
    <row r="185" spans="1:14" hidden="1">
      <c r="A185" s="16">
        <v>40005</v>
      </c>
      <c r="B185" s="16" t="str">
        <f>VLOOKUP(A185,'Reg Sheet'!A$2:F$357,6,FALSE)</f>
        <v>Elem</v>
      </c>
      <c r="C185" s="4" t="s">
        <v>205</v>
      </c>
      <c r="D185" s="4" t="s">
        <v>201</v>
      </c>
      <c r="E185" s="4" t="str">
        <f>VLOOKUP(A185,'Reg Sheet'!A$2:G$357,7,FALSE)</f>
        <v>5th</v>
      </c>
      <c r="F185" s="5" t="s">
        <v>13</v>
      </c>
      <c r="G185" s="5">
        <f t="shared" ca="1" si="4"/>
        <v>412</v>
      </c>
      <c r="H185" s="5">
        <f t="shared" ca="1" si="5"/>
        <v>8</v>
      </c>
      <c r="I185" s="5">
        <v>190</v>
      </c>
      <c r="J185" s="5">
        <v>1</v>
      </c>
      <c r="K185" s="5">
        <f ca="1">VLOOKUP(A185,'Kealing Site'!$A$2:$E$338,5,FALSE)</f>
        <v>222</v>
      </c>
      <c r="L185" s="5">
        <f ca="1">VLOOKUP(A185,'Kealing Site'!$A$2:$F$338,6,FALSE)</f>
        <v>7</v>
      </c>
    </row>
    <row r="186" spans="1:14" hidden="1">
      <c r="A186" s="16">
        <v>40006</v>
      </c>
      <c r="B186" s="16" t="str">
        <f>VLOOKUP(A186,'Reg Sheet'!A$2:F$357,6,FALSE)</f>
        <v>Elem</v>
      </c>
      <c r="C186" s="4" t="s">
        <v>206</v>
      </c>
      <c r="D186" s="4" t="s">
        <v>201</v>
      </c>
      <c r="E186" s="4" t="str">
        <f>VLOOKUP(A186,'Reg Sheet'!A$2:G$357,7,FALSE)</f>
        <v>4th</v>
      </c>
      <c r="F186" s="5" t="s">
        <v>13</v>
      </c>
      <c r="G186" s="5">
        <f t="shared" ca="1" si="4"/>
        <v>397</v>
      </c>
      <c r="H186" s="5">
        <f t="shared" ca="1" si="5"/>
        <v>0</v>
      </c>
      <c r="I186" s="5">
        <v>190</v>
      </c>
      <c r="J186" s="5">
        <v>0</v>
      </c>
      <c r="K186" s="5">
        <f ca="1">VLOOKUP(A186,'Kealing Site'!$A$2:$E$338,5,FALSE)</f>
        <v>207</v>
      </c>
      <c r="L186" s="5">
        <f ca="1">VLOOKUP(A186,'Kealing Site'!$A$2:$F$338,6,FALSE)</f>
        <v>0</v>
      </c>
    </row>
    <row r="187" spans="1:14" hidden="1">
      <c r="A187" s="16">
        <v>40007</v>
      </c>
      <c r="B187" s="16" t="str">
        <f>VLOOKUP(A187,'Reg Sheet'!A$2:F$357,6,FALSE)</f>
        <v>Elem</v>
      </c>
      <c r="C187" s="4" t="s">
        <v>207</v>
      </c>
      <c r="D187" s="4" t="s">
        <v>201</v>
      </c>
      <c r="E187" s="4" t="str">
        <f>VLOOKUP(A187,'Reg Sheet'!A$2:G$357,7,FALSE)</f>
        <v>5th</v>
      </c>
      <c r="F187" s="5" t="s">
        <v>13</v>
      </c>
      <c r="G187" s="5">
        <f t="shared" ca="1" si="4"/>
        <v>496</v>
      </c>
      <c r="H187" s="5">
        <f t="shared" ca="1" si="5"/>
        <v>10</v>
      </c>
      <c r="I187" s="5">
        <v>244</v>
      </c>
      <c r="J187" s="5">
        <v>3</v>
      </c>
      <c r="K187" s="5">
        <f ca="1">VLOOKUP(A187,'Kealing Site'!$A$2:$E$338,5,FALSE)</f>
        <v>252</v>
      </c>
      <c r="L187" s="5">
        <f ca="1">VLOOKUP(A187,'Kealing Site'!$A$2:$F$338,6,FALSE)</f>
        <v>7</v>
      </c>
    </row>
    <row r="188" spans="1:14" hidden="1">
      <c r="A188" s="16">
        <v>40008</v>
      </c>
      <c r="B188" s="16" t="str">
        <f>VLOOKUP(A188,'Reg Sheet'!A$2:F$357,6,FALSE)</f>
        <v>Elem</v>
      </c>
      <c r="C188" s="4" t="s">
        <v>208</v>
      </c>
      <c r="D188" s="4" t="s">
        <v>201</v>
      </c>
      <c r="E188" s="4" t="str">
        <f>VLOOKUP(A188,'Reg Sheet'!A$2:G$357,7,FALSE)</f>
        <v>5th</v>
      </c>
      <c r="F188" s="5" t="s">
        <v>13</v>
      </c>
      <c r="G188" s="5">
        <f t="shared" ca="1" si="4"/>
        <v>250</v>
      </c>
      <c r="H188" s="5">
        <f t="shared" ca="1" si="5"/>
        <v>3</v>
      </c>
      <c r="I188" s="5">
        <v>102</v>
      </c>
      <c r="J188" s="5">
        <v>0</v>
      </c>
      <c r="K188" s="5">
        <f ca="1">VLOOKUP(A188,'Kealing Site'!$A$2:$E$338,5,FALSE)</f>
        <v>148</v>
      </c>
      <c r="L188" s="5">
        <f ca="1">VLOOKUP(A188,'Kealing Site'!$A$2:$F$338,6,FALSE)</f>
        <v>3</v>
      </c>
    </row>
    <row r="189" spans="1:14" hidden="1">
      <c r="A189" s="16">
        <v>40009</v>
      </c>
      <c r="B189" s="16" t="str">
        <f>VLOOKUP(A189,'Reg Sheet'!A$2:F$357,6,FALSE)</f>
        <v>Elem</v>
      </c>
      <c r="C189" s="4" t="s">
        <v>209</v>
      </c>
      <c r="D189" s="4" t="s">
        <v>201</v>
      </c>
      <c r="E189" s="4" t="str">
        <f>VLOOKUP(A189,'Reg Sheet'!A$2:G$357,7,FALSE)</f>
        <v>5th</v>
      </c>
      <c r="F189" s="5" t="s">
        <v>13</v>
      </c>
      <c r="G189" s="5">
        <f t="shared" ca="1" si="4"/>
        <v>451</v>
      </c>
      <c r="H189" s="5">
        <f t="shared" ca="1" si="5"/>
        <v>11</v>
      </c>
      <c r="I189" s="5">
        <v>239</v>
      </c>
      <c r="J189" s="5">
        <v>8</v>
      </c>
      <c r="K189" s="5">
        <f ca="1">VLOOKUP(A189,'Kealing Site'!$A$2:$E$338,5,FALSE)</f>
        <v>212</v>
      </c>
      <c r="L189" s="5">
        <f ca="1">VLOOKUP(A189,'Kealing Site'!$A$2:$F$338,6,FALSE)</f>
        <v>3</v>
      </c>
    </row>
    <row r="190" spans="1:14" hidden="1">
      <c r="A190" s="16">
        <v>40010</v>
      </c>
      <c r="B190" s="16" t="str">
        <f>VLOOKUP(A190,'Reg Sheet'!A$2:F$357,6,FALSE)</f>
        <v>Elem</v>
      </c>
      <c r="C190" s="4" t="s">
        <v>210</v>
      </c>
      <c r="D190" s="4" t="s">
        <v>201</v>
      </c>
      <c r="E190" s="4" t="str">
        <f>VLOOKUP(A190,'Reg Sheet'!A$2:G$357,7,FALSE)</f>
        <v>5th</v>
      </c>
      <c r="F190" s="5" t="s">
        <v>13</v>
      </c>
      <c r="G190" s="5">
        <f t="shared" ca="1" si="4"/>
        <v>392</v>
      </c>
      <c r="H190" s="5">
        <f t="shared" ca="1" si="5"/>
        <v>3</v>
      </c>
      <c r="I190" s="5">
        <v>210</v>
      </c>
      <c r="J190" s="5">
        <v>2</v>
      </c>
      <c r="K190" s="5">
        <f ca="1">VLOOKUP(A190,'Kealing Site'!$A$2:$E$338,5,FALSE)</f>
        <v>182</v>
      </c>
      <c r="L190" s="5">
        <f ca="1">VLOOKUP(A190,'Kealing Site'!$A$2:$F$338,6,FALSE)</f>
        <v>1</v>
      </c>
      <c r="N190" t="s">
        <v>1035</v>
      </c>
    </row>
    <row r="191" spans="1:14" hidden="1">
      <c r="A191" s="16">
        <v>40011</v>
      </c>
      <c r="B191" s="16" t="str">
        <f>VLOOKUP(A191,'Reg Sheet'!A$2:F$357,6,FALSE)</f>
        <v>Elem</v>
      </c>
      <c r="C191" s="4" t="s">
        <v>211</v>
      </c>
      <c r="D191" s="4" t="s">
        <v>201</v>
      </c>
      <c r="E191" s="4" t="str">
        <f>VLOOKUP(A191,'Reg Sheet'!A$2:G$357,7,FALSE)</f>
        <v>5th</v>
      </c>
      <c r="F191" s="5" t="s">
        <v>15</v>
      </c>
      <c r="G191" s="5">
        <f t="shared" ca="1" si="4"/>
        <v>447</v>
      </c>
      <c r="H191" s="5">
        <f t="shared" ca="1" si="5"/>
        <v>8</v>
      </c>
      <c r="I191" s="5">
        <v>216</v>
      </c>
      <c r="J191" s="5">
        <v>5</v>
      </c>
      <c r="K191" s="5">
        <f ca="1">VLOOKUP(A191,'Kealing Site'!$A$2:$E$338,5,FALSE)</f>
        <v>231</v>
      </c>
      <c r="L191" s="5">
        <f ca="1">VLOOKUP(A191,'Kealing Site'!$A$2:$F$338,6,FALSE)</f>
        <v>3</v>
      </c>
      <c r="N191" t="e">
        <f ca="1">G186+G187+G188+G190+G189+G191+G192+G193+G194+G195+G196+G197</f>
        <v>#N/A</v>
      </c>
    </row>
    <row r="192" spans="1:14" hidden="1">
      <c r="A192" s="16">
        <v>40012</v>
      </c>
      <c r="B192" s="16" t="str">
        <f>VLOOKUP(A192,'Reg Sheet'!A$2:F$357,6,FALSE)</f>
        <v>Elem</v>
      </c>
      <c r="C192" s="4" t="s">
        <v>212</v>
      </c>
      <c r="D192" s="4" t="s">
        <v>201</v>
      </c>
      <c r="E192" s="4" t="str">
        <f>VLOOKUP(A192,'Reg Sheet'!A$2:G$357,7,FALSE)</f>
        <v>5th</v>
      </c>
      <c r="F192" s="5" t="s">
        <v>15</v>
      </c>
      <c r="G192" s="5">
        <f t="shared" ca="1" si="4"/>
        <v>435</v>
      </c>
      <c r="H192" s="5">
        <f t="shared" ca="1" si="5"/>
        <v>10</v>
      </c>
      <c r="I192" s="5">
        <v>215</v>
      </c>
      <c r="J192" s="5">
        <v>5</v>
      </c>
      <c r="K192" s="5">
        <f ca="1">VLOOKUP(A192,'Kealing Site'!$A$2:$E$338,5,FALSE)</f>
        <v>220</v>
      </c>
      <c r="L192" s="5">
        <f ca="1">VLOOKUP(A192,'Kealing Site'!$A$2:$F$338,6,FALSE)</f>
        <v>5</v>
      </c>
    </row>
    <row r="193" spans="1:12" hidden="1">
      <c r="A193" s="16">
        <v>40013</v>
      </c>
      <c r="B193" s="16" t="str">
        <f>VLOOKUP(A193,'Reg Sheet'!A$2:F$357,6,FALSE)</f>
        <v>Elem</v>
      </c>
      <c r="C193" s="4" t="s">
        <v>213</v>
      </c>
      <c r="D193" s="4" t="s">
        <v>201</v>
      </c>
      <c r="E193" s="4" t="str">
        <f>VLOOKUP(A193,'Reg Sheet'!A$2:G$357,7,FALSE)</f>
        <v>5th</v>
      </c>
      <c r="F193" s="5" t="s">
        <v>15</v>
      </c>
      <c r="G193" s="5" t="e">
        <f t="shared" ca="1" si="4"/>
        <v>#N/A</v>
      </c>
      <c r="H193" s="5" t="e">
        <f t="shared" ca="1" si="5"/>
        <v>#N/A</v>
      </c>
      <c r="I193" s="5" t="e">
        <v>#N/A</v>
      </c>
      <c r="J193" s="5" t="e">
        <v>#N/A</v>
      </c>
      <c r="K193" s="5">
        <f ca="1">VLOOKUP(A193,'Kealing Site'!$A$2:$E$338,5,FALSE)</f>
        <v>176</v>
      </c>
      <c r="L193" s="5">
        <f ca="1">VLOOKUP(A193,'Kealing Site'!$A$2:$F$338,6,FALSE)</f>
        <v>2</v>
      </c>
    </row>
    <row r="194" spans="1:12" hidden="1">
      <c r="A194" s="16">
        <v>40014</v>
      </c>
      <c r="B194" s="16" t="str">
        <f>VLOOKUP(A194,'Reg Sheet'!A$2:F$357,6,FALSE)</f>
        <v>Elem</v>
      </c>
      <c r="C194" s="4" t="s">
        <v>214</v>
      </c>
      <c r="D194" s="4" t="s">
        <v>201</v>
      </c>
      <c r="E194" s="4" t="str">
        <f>VLOOKUP(A194,'Reg Sheet'!A$2:G$357,7,FALSE)</f>
        <v>5th</v>
      </c>
      <c r="F194" s="5" t="s">
        <v>15</v>
      </c>
      <c r="G194" s="5" t="e">
        <f t="shared" ref="G194:G225" ca="1" si="6">I194+K194</f>
        <v>#N/A</v>
      </c>
      <c r="H194" s="5" t="e">
        <f t="shared" ref="H194:H225" ca="1" si="7">J194+L194</f>
        <v>#N/A</v>
      </c>
      <c r="I194" s="5" t="e">
        <v>#N/A</v>
      </c>
      <c r="J194" s="5" t="e">
        <v>#N/A</v>
      </c>
      <c r="K194" s="5">
        <f ca="1">VLOOKUP(A194,'Kealing Site'!$A$2:$E$338,5,FALSE)</f>
        <v>229</v>
      </c>
      <c r="L194" s="5">
        <f ca="1">VLOOKUP(A194,'Kealing Site'!$A$2:$F$338,6,FALSE)</f>
        <v>3</v>
      </c>
    </row>
    <row r="195" spans="1:12" hidden="1">
      <c r="A195" s="16">
        <v>40015</v>
      </c>
      <c r="B195" s="16" t="str">
        <f>VLOOKUP(A195,'Reg Sheet'!A$2:F$357,6,FALSE)</f>
        <v>Elem</v>
      </c>
      <c r="C195" s="4" t="s">
        <v>215</v>
      </c>
      <c r="D195" s="4" t="s">
        <v>201</v>
      </c>
      <c r="E195" s="4" t="str">
        <f>VLOOKUP(A195,'Reg Sheet'!A$2:G$357,7,FALSE)</f>
        <v>5th</v>
      </c>
      <c r="F195" s="5" t="s">
        <v>15</v>
      </c>
      <c r="G195" s="5">
        <f t="shared" ca="1" si="6"/>
        <v>374</v>
      </c>
      <c r="H195" s="5">
        <f t="shared" ca="1" si="7"/>
        <v>5</v>
      </c>
      <c r="I195" s="5">
        <v>188</v>
      </c>
      <c r="J195" s="5">
        <v>3</v>
      </c>
      <c r="K195" s="5">
        <f ca="1">VLOOKUP(A195,'Kealing Site'!$A$2:$E$338,5,FALSE)</f>
        <v>186</v>
      </c>
      <c r="L195" s="5">
        <f ca="1">VLOOKUP(A195,'Kealing Site'!$A$2:$F$338,6,FALSE)</f>
        <v>2</v>
      </c>
    </row>
    <row r="196" spans="1:12" hidden="1">
      <c r="A196" s="16">
        <v>40016</v>
      </c>
      <c r="B196" s="16" t="str">
        <f>VLOOKUP(A196,'Reg Sheet'!A$2:F$357,6,FALSE)</f>
        <v>Elem</v>
      </c>
      <c r="C196" s="4" t="s">
        <v>216</v>
      </c>
      <c r="D196" s="4" t="s">
        <v>201</v>
      </c>
      <c r="E196" s="4" t="str">
        <f>VLOOKUP(A196,'Reg Sheet'!A$2:G$357,7,FALSE)</f>
        <v>4th</v>
      </c>
      <c r="F196" s="5" t="s">
        <v>15</v>
      </c>
      <c r="G196" s="5">
        <f t="shared" ca="1" si="6"/>
        <v>216</v>
      </c>
      <c r="H196" s="5">
        <f t="shared" ca="1" si="7"/>
        <v>0</v>
      </c>
      <c r="I196" s="5">
        <v>87</v>
      </c>
      <c r="J196" s="5">
        <v>0</v>
      </c>
      <c r="K196" s="5">
        <f ca="1">VLOOKUP(A196,'Kealing Site'!$A$2:$E$338,5,FALSE)</f>
        <v>129</v>
      </c>
      <c r="L196" s="5">
        <f ca="1">VLOOKUP(A196,'Kealing Site'!$A$2:$F$338,6,FALSE)</f>
        <v>0</v>
      </c>
    </row>
    <row r="197" spans="1:12" hidden="1">
      <c r="A197" s="16">
        <v>40017</v>
      </c>
      <c r="B197" s="16" t="str">
        <f>VLOOKUP(A197,'Reg Sheet'!A$2:F$357,6,FALSE)</f>
        <v>Elem</v>
      </c>
      <c r="C197" s="4" t="s">
        <v>217</v>
      </c>
      <c r="D197" s="4" t="s">
        <v>201</v>
      </c>
      <c r="E197" s="4" t="str">
        <f>VLOOKUP(A197,'Reg Sheet'!A$2:G$357,7,FALSE)</f>
        <v>5th</v>
      </c>
      <c r="F197" s="5" t="s">
        <v>13</v>
      </c>
      <c r="G197" s="5" t="e">
        <f t="shared" ca="1" si="6"/>
        <v>#N/A</v>
      </c>
      <c r="H197" s="5" t="e">
        <f t="shared" ca="1" si="7"/>
        <v>#N/A</v>
      </c>
      <c r="I197" s="5" t="e">
        <v>#N/A</v>
      </c>
      <c r="J197" s="5" t="e">
        <v>#N/A</v>
      </c>
      <c r="K197" s="5">
        <f ca="1">VLOOKUP(A197,'Kealing Site'!$A$2:$E$338,5,FALSE)</f>
        <v>179</v>
      </c>
      <c r="L197" s="5">
        <f ca="1">VLOOKUP(A197,'Kealing Site'!$A$2:$F$338,6,FALSE)</f>
        <v>1</v>
      </c>
    </row>
    <row r="198" spans="1:12" hidden="1">
      <c r="A198" s="16">
        <v>40018</v>
      </c>
      <c r="B198" s="16" t="str">
        <f>VLOOKUP(A198,'Reg Sheet'!A$2:F$357,6,FALSE)</f>
        <v>Elem</v>
      </c>
      <c r="C198" s="4" t="s">
        <v>218</v>
      </c>
      <c r="D198" s="4" t="s">
        <v>201</v>
      </c>
      <c r="E198" s="4" t="str">
        <f>VLOOKUP(A198,'Reg Sheet'!A$2:G$357,7,FALSE)</f>
        <v>5th</v>
      </c>
      <c r="F198" s="5" t="s">
        <v>13</v>
      </c>
      <c r="G198" s="5" t="e">
        <f t="shared" ca="1" si="6"/>
        <v>#N/A</v>
      </c>
      <c r="H198" s="5" t="e">
        <f t="shared" ca="1" si="7"/>
        <v>#N/A</v>
      </c>
      <c r="I198" s="5" t="e">
        <v>#N/A</v>
      </c>
      <c r="J198" s="5" t="e">
        <v>#N/A</v>
      </c>
      <c r="K198" s="5" t="str">
        <f ca="1">VLOOKUP(A198,'Kealing Site'!$A$2:$E$338,5,FALSE)</f>
        <v>Posting</v>
      </c>
      <c r="L198" s="5" t="str">
        <f ca="1">VLOOKUP(A198,'Kealing Site'!$A$2:$F$338,6,FALSE)</f>
        <v>Posting</v>
      </c>
    </row>
    <row r="199" spans="1:12" hidden="1">
      <c r="A199" s="16">
        <v>40019</v>
      </c>
      <c r="B199" s="16" t="str">
        <f>VLOOKUP(A199,'Reg Sheet'!A$2:F$357,6,FALSE)</f>
        <v>Elem</v>
      </c>
      <c r="C199" s="4" t="s">
        <v>219</v>
      </c>
      <c r="D199" s="4" t="s">
        <v>201</v>
      </c>
      <c r="E199" s="4" t="str">
        <f>VLOOKUP(A199,'Reg Sheet'!A$2:G$357,7,FALSE)</f>
        <v>5th</v>
      </c>
      <c r="F199" s="5" t="s">
        <v>15</v>
      </c>
      <c r="G199" s="5">
        <f t="shared" ca="1" si="6"/>
        <v>403</v>
      </c>
      <c r="H199" s="5">
        <f t="shared" ca="1" si="7"/>
        <v>3</v>
      </c>
      <c r="I199" s="5">
        <v>212</v>
      </c>
      <c r="J199" s="5">
        <v>2</v>
      </c>
      <c r="K199" s="5">
        <f ca="1">VLOOKUP(A199,'Kealing Site'!$A$2:$E$338,5,FALSE)</f>
        <v>191</v>
      </c>
      <c r="L199" s="5">
        <f ca="1">VLOOKUP(A199,'Kealing Site'!$A$2:$F$338,6,FALSE)</f>
        <v>1</v>
      </c>
    </row>
    <row r="200" spans="1:12" hidden="1">
      <c r="A200" s="16">
        <v>40020</v>
      </c>
      <c r="B200" s="16" t="str">
        <f>VLOOKUP(A200,'Reg Sheet'!A$2:F$357,6,FALSE)</f>
        <v>Elem</v>
      </c>
      <c r="C200" s="4" t="s">
        <v>220</v>
      </c>
      <c r="D200" s="4" t="s">
        <v>201</v>
      </c>
      <c r="E200" s="4" t="str">
        <f>VLOOKUP(A200,'Reg Sheet'!A$2:G$357,7,FALSE)</f>
        <v>4th</v>
      </c>
      <c r="F200" s="5" t="s">
        <v>15</v>
      </c>
      <c r="G200" s="5">
        <f t="shared" ca="1" si="6"/>
        <v>297</v>
      </c>
      <c r="H200" s="5">
        <f t="shared" ca="1" si="7"/>
        <v>4</v>
      </c>
      <c r="I200" s="5">
        <v>156</v>
      </c>
      <c r="J200" s="5">
        <v>2</v>
      </c>
      <c r="K200" s="5">
        <f ca="1">VLOOKUP(A200,'Kealing Site'!$A$2:$E$338,5,FALSE)</f>
        <v>141</v>
      </c>
      <c r="L200" s="5">
        <f ca="1">VLOOKUP(A200,'Kealing Site'!$A$2:$F$338,6,FALSE)</f>
        <v>2</v>
      </c>
    </row>
    <row r="201" spans="1:12" hidden="1">
      <c r="A201" s="16">
        <v>40021</v>
      </c>
      <c r="B201" s="16" t="str">
        <f>VLOOKUP(A201,'Reg Sheet'!A$2:F$357,6,FALSE)</f>
        <v>Elem</v>
      </c>
      <c r="C201" s="4" t="s">
        <v>221</v>
      </c>
      <c r="D201" s="4" t="s">
        <v>201</v>
      </c>
      <c r="E201" s="4" t="str">
        <f>VLOOKUP(A201,'Reg Sheet'!A$2:G$357,7,FALSE)</f>
        <v>5th</v>
      </c>
      <c r="F201" s="5" t="s">
        <v>13</v>
      </c>
      <c r="G201" s="5">
        <f t="shared" ca="1" si="6"/>
        <v>298</v>
      </c>
      <c r="H201" s="5">
        <f t="shared" ca="1" si="7"/>
        <v>2</v>
      </c>
      <c r="I201" s="5">
        <v>183</v>
      </c>
      <c r="J201" s="5">
        <v>2</v>
      </c>
      <c r="K201" s="5">
        <f ca="1">VLOOKUP(A201,'Kealing Site'!$A$2:$E$338,5,FALSE)</f>
        <v>115</v>
      </c>
      <c r="L201" s="5">
        <f ca="1">VLOOKUP(A201,'Kealing Site'!$A$2:$F$338,6,FALSE)</f>
        <v>0</v>
      </c>
    </row>
    <row r="202" spans="1:12" hidden="1">
      <c r="A202" s="16">
        <v>40022</v>
      </c>
      <c r="B202" s="16" t="str">
        <f>VLOOKUP(A202,'Reg Sheet'!A$2:F$357,6,FALSE)</f>
        <v>Elem</v>
      </c>
      <c r="C202" s="4" t="s">
        <v>222</v>
      </c>
      <c r="D202" s="4" t="s">
        <v>201</v>
      </c>
      <c r="E202" s="4" t="str">
        <f>VLOOKUP(A202,'Reg Sheet'!A$2:G$357,7,FALSE)</f>
        <v>4th</v>
      </c>
      <c r="F202" s="5" t="s">
        <v>13</v>
      </c>
      <c r="G202" s="5">
        <f t="shared" ca="1" si="6"/>
        <v>415</v>
      </c>
      <c r="H202" s="5">
        <f t="shared" ca="1" si="7"/>
        <v>3</v>
      </c>
      <c r="I202" s="5">
        <v>230</v>
      </c>
      <c r="J202" s="5">
        <v>2</v>
      </c>
      <c r="K202" s="5">
        <f ca="1">VLOOKUP(A202,'Kealing Site'!$A$2:$E$338,5,FALSE)</f>
        <v>185</v>
      </c>
      <c r="L202" s="5">
        <f ca="1">VLOOKUP(A202,'Kealing Site'!$A$2:$F$338,6,FALSE)</f>
        <v>1</v>
      </c>
    </row>
    <row r="203" spans="1:12" hidden="1">
      <c r="A203" s="16">
        <v>50001</v>
      </c>
      <c r="B203" s="16" t="str">
        <f>VLOOKUP(A203,'Reg Sheet'!A$2:F$357,6,FALSE)</f>
        <v>HS</v>
      </c>
      <c r="C203" s="4" t="s">
        <v>223</v>
      </c>
      <c r="D203" s="4" t="s">
        <v>224</v>
      </c>
      <c r="E203" s="4" t="str">
        <f>VLOOKUP(A203,'Reg Sheet'!A$2:G$357,7,FALSE)</f>
        <v>11th</v>
      </c>
      <c r="F203" s="5" t="s">
        <v>13</v>
      </c>
      <c r="G203" s="5" t="e">
        <f t="shared" ca="1" si="6"/>
        <v>#VALUE!</v>
      </c>
      <c r="H203" s="5" t="e">
        <f t="shared" ca="1" si="7"/>
        <v>#VALUE!</v>
      </c>
      <c r="I203" s="5">
        <v>164</v>
      </c>
      <c r="J203" s="5">
        <v>1</v>
      </c>
      <c r="K203" s="5" t="str">
        <f ca="1">VLOOKUP(A203,'Kealing Site'!$A$2:$E$338,5,FALSE)</f>
        <v>Posting</v>
      </c>
      <c r="L203" s="5" t="str">
        <f ca="1">VLOOKUP(A203,'Kealing Site'!$A$2:$F$338,6,FALSE)</f>
        <v>Posting</v>
      </c>
    </row>
    <row r="204" spans="1:12" hidden="1">
      <c r="A204" s="16">
        <v>60001</v>
      </c>
      <c r="B204" s="16" t="str">
        <f>VLOOKUP(A204,'Reg Sheet'!A$2:F$357,6,FALSE)</f>
        <v>HS</v>
      </c>
      <c r="C204" s="4" t="s">
        <v>225</v>
      </c>
      <c r="D204" s="4" t="s">
        <v>226</v>
      </c>
      <c r="E204" s="4" t="str">
        <f>VLOOKUP(A204,'Reg Sheet'!A$2:G$357,7,FALSE)</f>
        <v>9th</v>
      </c>
      <c r="F204" s="5" t="s">
        <v>15</v>
      </c>
      <c r="G204" s="5">
        <f t="shared" ca="1" si="6"/>
        <v>514</v>
      </c>
      <c r="H204" s="5">
        <f t="shared" ca="1" si="7"/>
        <v>13</v>
      </c>
      <c r="I204" s="5">
        <v>249</v>
      </c>
      <c r="J204" s="5">
        <v>5</v>
      </c>
      <c r="K204" s="5">
        <f ca="1">VLOOKUP(A204,'Kealing Site'!$A$2:$E$338,5,FALSE)</f>
        <v>265</v>
      </c>
      <c r="L204" s="5">
        <f ca="1">VLOOKUP(A204,'Kealing Site'!$A$2:$F$338,6,FALSE)</f>
        <v>8</v>
      </c>
    </row>
    <row r="205" spans="1:12" hidden="1">
      <c r="A205" s="16">
        <v>60002</v>
      </c>
      <c r="B205" s="16" t="str">
        <f>VLOOKUP(A205,'Reg Sheet'!A$2:F$357,6,FALSE)</f>
        <v>HS</v>
      </c>
      <c r="C205" s="4" t="s">
        <v>227</v>
      </c>
      <c r="D205" s="4" t="s">
        <v>226</v>
      </c>
      <c r="E205" s="4" t="str">
        <f>VLOOKUP(A205,'Reg Sheet'!A$2:G$357,7,FALSE)</f>
        <v>11th</v>
      </c>
      <c r="F205" s="5" t="s">
        <v>15</v>
      </c>
      <c r="G205" s="5">
        <f t="shared" ca="1" si="6"/>
        <v>467</v>
      </c>
      <c r="H205" s="5">
        <f t="shared" ca="1" si="7"/>
        <v>8</v>
      </c>
      <c r="I205" s="5">
        <v>225</v>
      </c>
      <c r="J205" s="5">
        <v>4</v>
      </c>
      <c r="K205" s="5">
        <f ca="1">VLOOKUP(A205,'Kealing Site'!$A$2:$E$338,5,FALSE)</f>
        <v>242</v>
      </c>
      <c r="L205" s="5">
        <f ca="1">VLOOKUP(A205,'Kealing Site'!$A$2:$F$338,6,FALSE)</f>
        <v>4</v>
      </c>
    </row>
    <row r="206" spans="1:12" hidden="1">
      <c r="A206" s="16">
        <v>70006</v>
      </c>
      <c r="B206" s="16" t="str">
        <f>VLOOKUP(A206,'Reg Sheet'!A$2:F$357,6,FALSE)</f>
        <v>Elem</v>
      </c>
      <c r="C206" s="4" t="s">
        <v>234</v>
      </c>
      <c r="D206" s="4" t="s">
        <v>229</v>
      </c>
      <c r="E206" s="4" t="str">
        <f>VLOOKUP(A206,'Reg Sheet'!A$2:G$357,7,FALSE)</f>
        <v>5th</v>
      </c>
      <c r="F206" s="5" t="s">
        <v>13</v>
      </c>
      <c r="G206" s="5" t="e">
        <f t="shared" ca="1" si="6"/>
        <v>#N/A</v>
      </c>
      <c r="H206" s="5" t="e">
        <f t="shared" ca="1" si="7"/>
        <v>#N/A</v>
      </c>
      <c r="I206" s="5" t="e">
        <v>#N/A</v>
      </c>
      <c r="J206" s="5" t="e">
        <v>#N/A</v>
      </c>
      <c r="K206" s="5" t="e">
        <f ca="1">VLOOKUP(A206,'Kealing Site'!$A$2:$E$338,5,FALSE)</f>
        <v>#N/A</v>
      </c>
      <c r="L206" s="5" t="e">
        <f ca="1">VLOOKUP(A206,'Kealing Site'!$A$2:$F$338,6,FALSE)</f>
        <v>#N/A</v>
      </c>
    </row>
    <row r="207" spans="1:12" hidden="1">
      <c r="A207" s="16">
        <v>70038</v>
      </c>
      <c r="B207" s="16" t="str">
        <f>VLOOKUP(A207,'Reg Sheet'!A$2:F$357,6,FALSE)</f>
        <v>Elem</v>
      </c>
      <c r="C207" s="4" t="s">
        <v>265</v>
      </c>
      <c r="D207" s="4" t="s">
        <v>229</v>
      </c>
      <c r="E207" s="4" t="str">
        <f>VLOOKUP(A207,'Reg Sheet'!A$2:G$357,7,FALSE)</f>
        <v>5th</v>
      </c>
      <c r="F207" s="5" t="s">
        <v>15</v>
      </c>
      <c r="G207" s="5" t="e">
        <f t="shared" ca="1" si="6"/>
        <v>#N/A</v>
      </c>
      <c r="H207" s="5" t="e">
        <f t="shared" ca="1" si="7"/>
        <v>#N/A</v>
      </c>
      <c r="I207" s="5">
        <v>229</v>
      </c>
      <c r="J207" s="5">
        <v>2</v>
      </c>
      <c r="K207" s="5" t="e">
        <f ca="1">VLOOKUP(A207,'Kealing Site'!$A$2:$E$338,5,FALSE)</f>
        <v>#N/A</v>
      </c>
      <c r="L207" s="5" t="e">
        <f ca="1">VLOOKUP(A207,'Kealing Site'!$A$2:$F$338,6,FALSE)</f>
        <v>#N/A</v>
      </c>
    </row>
    <row r="208" spans="1:12" hidden="1">
      <c r="A208" s="16">
        <v>70007</v>
      </c>
      <c r="B208" s="16" t="str">
        <f>VLOOKUP(A208,'Reg Sheet'!A$2:F$357,6,FALSE)</f>
        <v>Elem</v>
      </c>
      <c r="C208" s="4" t="s">
        <v>235</v>
      </c>
      <c r="D208" s="4" t="s">
        <v>229</v>
      </c>
      <c r="E208" s="4" t="str">
        <f>VLOOKUP(A208,'Reg Sheet'!A$2:G$357,7,FALSE)</f>
        <v>5th</v>
      </c>
      <c r="F208" s="5" t="s">
        <v>15</v>
      </c>
      <c r="G208" s="5" t="e">
        <f t="shared" ca="1" si="6"/>
        <v>#N/A</v>
      </c>
      <c r="H208" s="5" t="e">
        <f t="shared" ca="1" si="7"/>
        <v>#N/A</v>
      </c>
      <c r="I208" s="5" t="e">
        <v>#N/A</v>
      </c>
      <c r="J208" s="5" t="e">
        <v>#N/A</v>
      </c>
      <c r="K208" s="5" t="str">
        <f ca="1">VLOOKUP(A208,'Kealing Site'!$A$2:$E$338,5,FALSE)</f>
        <v>Posting</v>
      </c>
      <c r="L208" s="5" t="str">
        <f ca="1">VLOOKUP(A208,'Kealing Site'!$A$2:$F$338,6,FALSE)</f>
        <v>Posting</v>
      </c>
    </row>
    <row r="209" spans="1:12">
      <c r="A209" s="16">
        <v>70018</v>
      </c>
      <c r="B209" s="16" t="str">
        <f>VLOOKUP(A209,'Reg Sheet'!A$2:F$357,6,FALSE)</f>
        <v>Elem</v>
      </c>
      <c r="C209" s="4" t="s">
        <v>246</v>
      </c>
      <c r="D209" s="4" t="s">
        <v>229</v>
      </c>
      <c r="E209" s="4" t="str">
        <f>VLOOKUP(A209,'Reg Sheet'!A$2:G$357,7,FALSE)</f>
        <v>5th</v>
      </c>
      <c r="F209" s="5" t="s">
        <v>13</v>
      </c>
      <c r="G209" s="5">
        <f t="shared" ca="1" si="6"/>
        <v>543</v>
      </c>
      <c r="H209" s="5">
        <f t="shared" ca="1" si="7"/>
        <v>25</v>
      </c>
      <c r="I209" s="5">
        <v>267</v>
      </c>
      <c r="J209" s="5">
        <v>10</v>
      </c>
      <c r="K209" s="5">
        <f ca="1">VLOOKUP(A209,'Kealing Site'!$A$2:$E$338,5,FALSE)</f>
        <v>276</v>
      </c>
      <c r="L209" s="5">
        <f ca="1">VLOOKUP(A209,'Kealing Site'!$A$2:$F$338,6,FALSE)</f>
        <v>15</v>
      </c>
    </row>
    <row r="210" spans="1:12">
      <c r="A210" s="16">
        <v>70030</v>
      </c>
      <c r="B210" s="16" t="str">
        <f>VLOOKUP(A210,'Reg Sheet'!A$2:F$357,6,FALSE)</f>
        <v>Elem</v>
      </c>
      <c r="C210" s="4" t="s">
        <v>258</v>
      </c>
      <c r="D210" s="4" t="s">
        <v>229</v>
      </c>
      <c r="E210" s="4" t="str">
        <f>VLOOKUP(A210,'Reg Sheet'!A$2:G$357,7,FALSE)</f>
        <v>5th</v>
      </c>
      <c r="F210" s="5" t="s">
        <v>13</v>
      </c>
      <c r="G210" s="5">
        <f t="shared" ca="1" si="6"/>
        <v>539</v>
      </c>
      <c r="H210" s="5">
        <f t="shared" ca="1" si="7"/>
        <v>25</v>
      </c>
      <c r="I210" s="5">
        <v>266</v>
      </c>
      <c r="J210" s="5">
        <v>12</v>
      </c>
      <c r="K210" s="5">
        <f ca="1">VLOOKUP(A210,'Kealing Site'!$A$2:$E$338,5,FALSE)</f>
        <v>273</v>
      </c>
      <c r="L210" s="5">
        <f ca="1">VLOOKUP(A210,'Kealing Site'!$A$2:$F$338,6,FALSE)</f>
        <v>13</v>
      </c>
    </row>
    <row r="211" spans="1:12">
      <c r="A211" s="16">
        <v>70021</v>
      </c>
      <c r="B211" s="16" t="str">
        <f>VLOOKUP(A211,'Reg Sheet'!A$2:F$357,6,FALSE)</f>
        <v>Elem</v>
      </c>
      <c r="C211" s="4" t="s">
        <v>249</v>
      </c>
      <c r="D211" s="4" t="s">
        <v>229</v>
      </c>
      <c r="E211" s="4" t="str">
        <f>VLOOKUP(A211,'Reg Sheet'!A$2:G$357,7,FALSE)</f>
        <v>5th</v>
      </c>
      <c r="F211" s="5" t="s">
        <v>13</v>
      </c>
      <c r="G211" s="5">
        <f t="shared" ca="1" si="6"/>
        <v>535</v>
      </c>
      <c r="H211" s="5">
        <f t="shared" ca="1" si="7"/>
        <v>18</v>
      </c>
      <c r="I211" s="5">
        <v>272</v>
      </c>
      <c r="J211" s="5">
        <v>10</v>
      </c>
      <c r="K211" s="5">
        <f ca="1">VLOOKUP(A211,'Kealing Site'!$A$2:$E$338,5,FALSE)</f>
        <v>263</v>
      </c>
      <c r="L211" s="5">
        <f ca="1">VLOOKUP(A211,'Kealing Site'!$A$2:$F$338,6,FALSE)</f>
        <v>8</v>
      </c>
    </row>
    <row r="212" spans="1:12">
      <c r="A212" s="16">
        <v>70024</v>
      </c>
      <c r="B212" s="16" t="str">
        <f>VLOOKUP(A212,'Reg Sheet'!A$2:F$357,6,FALSE)</f>
        <v>Elem</v>
      </c>
      <c r="C212" s="4" t="s">
        <v>252</v>
      </c>
      <c r="D212" s="4" t="s">
        <v>229</v>
      </c>
      <c r="E212" s="4" t="str">
        <f>VLOOKUP(A212,'Reg Sheet'!A$2:G$357,7,FALSE)</f>
        <v>5th</v>
      </c>
      <c r="F212" s="5" t="s">
        <v>13</v>
      </c>
      <c r="G212" s="5">
        <f t="shared" ca="1" si="6"/>
        <v>533</v>
      </c>
      <c r="H212" s="5">
        <f t="shared" ca="1" si="7"/>
        <v>20</v>
      </c>
      <c r="I212" s="5">
        <v>268</v>
      </c>
      <c r="J212" s="5">
        <v>11</v>
      </c>
      <c r="K212" s="5">
        <f ca="1">VLOOKUP(A212,'Kealing Site'!$A$2:$E$338,5,FALSE)</f>
        <v>265</v>
      </c>
      <c r="L212" s="5">
        <f ca="1">VLOOKUP(A212,'Kealing Site'!$A$2:$F$338,6,FALSE)</f>
        <v>9</v>
      </c>
    </row>
    <row r="213" spans="1:12">
      <c r="A213" s="16">
        <v>70001</v>
      </c>
      <c r="B213" s="16" t="str">
        <f>VLOOKUP(A213,'Reg Sheet'!A$2:F$357,6,FALSE)</f>
        <v>Elem</v>
      </c>
      <c r="C213" s="4" t="s">
        <v>228</v>
      </c>
      <c r="D213" s="4" t="s">
        <v>229</v>
      </c>
      <c r="E213" s="4" t="str">
        <f>VLOOKUP(A213,'Reg Sheet'!A$2:G$357,7,FALSE)</f>
        <v>5th</v>
      </c>
      <c r="F213" s="5" t="s">
        <v>15</v>
      </c>
      <c r="G213" s="5">
        <f t="shared" ca="1" si="6"/>
        <v>524</v>
      </c>
      <c r="H213" s="5">
        <f t="shared" ca="1" si="7"/>
        <v>18</v>
      </c>
      <c r="I213" s="5">
        <v>262</v>
      </c>
      <c r="J213" s="5">
        <v>7</v>
      </c>
      <c r="K213" s="5">
        <f ca="1">VLOOKUP(A213,'Kealing Site'!$A$2:$E$338,5,FALSE)</f>
        <v>262</v>
      </c>
      <c r="L213" s="5">
        <f ca="1">VLOOKUP(A213,'Kealing Site'!$A$2:$F$338,6,FALSE)</f>
        <v>11</v>
      </c>
    </row>
    <row r="214" spans="1:12">
      <c r="A214" s="16">
        <v>70029</v>
      </c>
      <c r="B214" s="16" t="str">
        <f>VLOOKUP(A214,'Reg Sheet'!A$2:F$357,6,FALSE)</f>
        <v>Elem</v>
      </c>
      <c r="C214" s="4" t="s">
        <v>257</v>
      </c>
      <c r="D214" s="4" t="s">
        <v>229</v>
      </c>
      <c r="E214" s="4" t="str">
        <f>VLOOKUP(A214,'Reg Sheet'!A$2:G$357,7,FALSE)</f>
        <v>5th</v>
      </c>
      <c r="F214" s="5" t="s">
        <v>15</v>
      </c>
      <c r="G214" s="5">
        <f t="shared" ca="1" si="6"/>
        <v>522</v>
      </c>
      <c r="H214" s="5">
        <f t="shared" ca="1" si="7"/>
        <v>19</v>
      </c>
      <c r="I214" s="5">
        <v>256</v>
      </c>
      <c r="J214" s="5">
        <v>9</v>
      </c>
      <c r="K214" s="5">
        <f ca="1">VLOOKUP(A214,'Kealing Site'!$A$2:$E$338,5,FALSE)</f>
        <v>266</v>
      </c>
      <c r="L214" s="5">
        <f ca="1">VLOOKUP(A214,'Kealing Site'!$A$2:$F$338,6,FALSE)</f>
        <v>10</v>
      </c>
    </row>
    <row r="215" spans="1:12">
      <c r="A215" s="16">
        <v>70041</v>
      </c>
      <c r="B215" s="16" t="str">
        <f>VLOOKUP(A215,'Reg Sheet'!A$2:F$357,6,FALSE)</f>
        <v>Elem</v>
      </c>
      <c r="C215" s="4" t="s">
        <v>268</v>
      </c>
      <c r="D215" s="4" t="s">
        <v>229</v>
      </c>
      <c r="E215" s="4" t="str">
        <f>VLOOKUP(A215,'Reg Sheet'!A$2:G$357,7,FALSE)</f>
        <v>5th</v>
      </c>
      <c r="F215" s="5" t="s">
        <v>13</v>
      </c>
      <c r="G215" s="5">
        <f t="shared" ca="1" si="6"/>
        <v>521</v>
      </c>
      <c r="H215" s="5">
        <f t="shared" ca="1" si="7"/>
        <v>14</v>
      </c>
      <c r="I215" s="5">
        <v>258</v>
      </c>
      <c r="J215" s="5">
        <v>6</v>
      </c>
      <c r="K215" s="5">
        <f ca="1">VLOOKUP(A215,'Kealing Site'!$A$2:$E$338,5,FALSE)</f>
        <v>263</v>
      </c>
      <c r="L215" s="5">
        <f ca="1">VLOOKUP(A215,'Kealing Site'!$A$2:$F$338,6,FALSE)</f>
        <v>8</v>
      </c>
    </row>
    <row r="216" spans="1:12">
      <c r="A216" s="16">
        <v>70013</v>
      </c>
      <c r="B216" s="16" t="str">
        <f>VLOOKUP(A216,'Reg Sheet'!A$2:F$357,6,FALSE)</f>
        <v>Elem</v>
      </c>
      <c r="C216" s="4" t="s">
        <v>241</v>
      </c>
      <c r="D216" s="4" t="s">
        <v>229</v>
      </c>
      <c r="E216" s="4" t="str">
        <f>VLOOKUP(A216,'Reg Sheet'!A$2:G$357,7,FALSE)</f>
        <v>5th</v>
      </c>
      <c r="F216" s="5" t="s">
        <v>15</v>
      </c>
      <c r="G216" s="5">
        <f t="shared" ca="1" si="6"/>
        <v>519</v>
      </c>
      <c r="H216" s="5">
        <f t="shared" ca="1" si="7"/>
        <v>16</v>
      </c>
      <c r="I216" s="5">
        <v>263</v>
      </c>
      <c r="J216" s="5">
        <v>10</v>
      </c>
      <c r="K216" s="5">
        <f ca="1">VLOOKUP(A216,'Kealing Site'!$A$2:$E$338,5,FALSE)</f>
        <v>256</v>
      </c>
      <c r="L216" s="5">
        <f ca="1">VLOOKUP(A216,'Kealing Site'!$A$2:$F$338,6,FALSE)</f>
        <v>6</v>
      </c>
    </row>
    <row r="217" spans="1:12">
      <c r="A217" s="16">
        <v>70020</v>
      </c>
      <c r="B217" s="16" t="str">
        <f>VLOOKUP(A217,'Reg Sheet'!A$2:F$357,6,FALSE)</f>
        <v>Elem</v>
      </c>
      <c r="C217" s="4" t="s">
        <v>248</v>
      </c>
      <c r="D217" s="4" t="s">
        <v>229</v>
      </c>
      <c r="E217" s="4" t="str">
        <f>VLOOKUP(A217,'Reg Sheet'!A$2:G$357,7,FALSE)</f>
        <v>5th</v>
      </c>
      <c r="F217" s="5" t="s">
        <v>13</v>
      </c>
      <c r="G217" s="5">
        <f t="shared" ca="1" si="6"/>
        <v>519</v>
      </c>
      <c r="H217" s="5">
        <f t="shared" ca="1" si="7"/>
        <v>21</v>
      </c>
      <c r="I217" s="5">
        <v>260</v>
      </c>
      <c r="J217" s="5">
        <v>11</v>
      </c>
      <c r="K217" s="5">
        <f ca="1">VLOOKUP(A217,'Kealing Site'!$A$2:$E$338,5,FALSE)</f>
        <v>259</v>
      </c>
      <c r="L217" s="5">
        <f ca="1">VLOOKUP(A217,'Kealing Site'!$A$2:$F$338,6,FALSE)</f>
        <v>10</v>
      </c>
    </row>
    <row r="218" spans="1:12">
      <c r="A218" s="16">
        <v>70002</v>
      </c>
      <c r="B218" s="16" t="str">
        <f>VLOOKUP(A218,'Reg Sheet'!A$2:F$357,6,FALSE)</f>
        <v>Elem</v>
      </c>
      <c r="C218" s="4" t="s">
        <v>230</v>
      </c>
      <c r="D218" s="4" t="s">
        <v>229</v>
      </c>
      <c r="E218" s="4" t="str">
        <f>VLOOKUP(A218,'Reg Sheet'!A$2:G$357,7,FALSE)</f>
        <v>5th</v>
      </c>
      <c r="F218" s="5" t="s">
        <v>13</v>
      </c>
      <c r="G218" s="5">
        <f t="shared" ca="1" si="6"/>
        <v>518</v>
      </c>
      <c r="H218" s="5">
        <f t="shared" ca="1" si="7"/>
        <v>18</v>
      </c>
      <c r="I218" s="5">
        <v>265</v>
      </c>
      <c r="J218" s="5">
        <v>10</v>
      </c>
      <c r="K218" s="5">
        <f ca="1">VLOOKUP(A218,'Kealing Site'!$A$2:$E$338,5,FALSE)</f>
        <v>253</v>
      </c>
      <c r="L218" s="5">
        <f ca="1">VLOOKUP(A218,'Kealing Site'!$A$2:$F$338,6,FALSE)</f>
        <v>8</v>
      </c>
    </row>
    <row r="219" spans="1:12">
      <c r="A219" s="16">
        <v>70028</v>
      </c>
      <c r="B219" s="16" t="str">
        <f>VLOOKUP(A219,'Reg Sheet'!A$2:F$357,6,FALSE)</f>
        <v>Elem</v>
      </c>
      <c r="C219" s="4" t="s">
        <v>256</v>
      </c>
      <c r="D219" s="4" t="s">
        <v>229</v>
      </c>
      <c r="E219" s="4" t="str">
        <f>VLOOKUP(A219,'Reg Sheet'!A$2:G$357,7,FALSE)</f>
        <v>5th</v>
      </c>
      <c r="F219" s="5" t="s">
        <v>13</v>
      </c>
      <c r="G219" s="5">
        <f t="shared" ca="1" si="6"/>
        <v>516</v>
      </c>
      <c r="H219" s="5">
        <f t="shared" ca="1" si="7"/>
        <v>14</v>
      </c>
      <c r="I219" s="5">
        <v>263</v>
      </c>
      <c r="J219" s="5">
        <v>8</v>
      </c>
      <c r="K219" s="5">
        <f ca="1">VLOOKUP(A219,'Kealing Site'!$A$2:$E$338,5,FALSE)</f>
        <v>253</v>
      </c>
      <c r="L219" s="5">
        <f ca="1">VLOOKUP(A219,'Kealing Site'!$A$2:$F$338,6,FALSE)</f>
        <v>6</v>
      </c>
    </row>
    <row r="220" spans="1:12">
      <c r="A220" s="16">
        <v>70040</v>
      </c>
      <c r="B220" s="16" t="str">
        <f>VLOOKUP(A220,'Reg Sheet'!A$2:F$357,6,FALSE)</f>
        <v>Elem</v>
      </c>
      <c r="C220" s="4" t="s">
        <v>267</v>
      </c>
      <c r="D220" s="4" t="s">
        <v>229</v>
      </c>
      <c r="E220" s="4" t="str">
        <f>VLOOKUP(A220,'Reg Sheet'!A$2:G$357,7,FALSE)</f>
        <v>5th</v>
      </c>
      <c r="F220" s="5" t="s">
        <v>15</v>
      </c>
      <c r="G220" s="5">
        <f t="shared" ca="1" si="6"/>
        <v>515</v>
      </c>
      <c r="H220" s="5">
        <f t="shared" ca="1" si="7"/>
        <v>16</v>
      </c>
      <c r="I220" s="5">
        <v>258</v>
      </c>
      <c r="J220" s="5">
        <v>9</v>
      </c>
      <c r="K220" s="5">
        <f ca="1">VLOOKUP(A220,'Kealing Site'!$A$2:$E$338,5,FALSE)</f>
        <v>257</v>
      </c>
      <c r="L220" s="5">
        <f ca="1">VLOOKUP(A220,'Kealing Site'!$A$2:$F$338,6,FALSE)</f>
        <v>7</v>
      </c>
    </row>
    <row r="221" spans="1:12">
      <c r="A221" s="16">
        <v>70034</v>
      </c>
      <c r="B221" s="16" t="str">
        <f>VLOOKUP(A221,'Reg Sheet'!A$2:F$357,6,FALSE)</f>
        <v>Elem</v>
      </c>
      <c r="C221" s="4" t="s">
        <v>262</v>
      </c>
      <c r="D221" s="4" t="s">
        <v>229</v>
      </c>
      <c r="E221" s="4" t="str">
        <f>VLOOKUP(A221,'Reg Sheet'!A$2:G$357,7,FALSE)</f>
        <v>5th</v>
      </c>
      <c r="F221" s="5" t="s">
        <v>15</v>
      </c>
      <c r="G221" s="5">
        <f t="shared" ca="1" si="6"/>
        <v>513</v>
      </c>
      <c r="H221" s="5">
        <f t="shared" ca="1" si="7"/>
        <v>16</v>
      </c>
      <c r="I221" s="5">
        <v>248</v>
      </c>
      <c r="J221" s="5">
        <v>7</v>
      </c>
      <c r="K221" s="5">
        <f ca="1">VLOOKUP(A221,'Kealing Site'!$A$2:$E$338,5,FALSE)</f>
        <v>265</v>
      </c>
      <c r="L221" s="5">
        <f ca="1">VLOOKUP(A221,'Kealing Site'!$A$2:$F$338,6,FALSE)</f>
        <v>9</v>
      </c>
    </row>
    <row r="222" spans="1:12" hidden="1">
      <c r="A222" s="16">
        <v>70033</v>
      </c>
      <c r="B222" s="16" t="str">
        <f>VLOOKUP(A222,'Reg Sheet'!A$2:F$357,6,FALSE)</f>
        <v>Elem</v>
      </c>
      <c r="C222" s="4" t="s">
        <v>261</v>
      </c>
      <c r="D222" s="4" t="s">
        <v>229</v>
      </c>
      <c r="E222" s="4" t="str">
        <f>VLOOKUP(A222,'Reg Sheet'!A$2:G$357,7,FALSE)</f>
        <v>5th</v>
      </c>
      <c r="F222" s="5" t="s">
        <v>13</v>
      </c>
      <c r="G222" s="5" t="e">
        <f t="shared" ca="1" si="6"/>
        <v>#N/A</v>
      </c>
      <c r="H222" s="5" t="e">
        <f t="shared" ca="1" si="7"/>
        <v>#N/A</v>
      </c>
      <c r="I222" s="5" t="e">
        <v>#N/A</v>
      </c>
      <c r="J222" s="5" t="e">
        <v>#N/A</v>
      </c>
      <c r="K222" s="5">
        <f ca="1">VLOOKUP(A222,'Kealing Site'!$A$2:$E$338,5,FALSE)</f>
        <v>253</v>
      </c>
      <c r="L222" s="5">
        <f ca="1">VLOOKUP(A222,'Kealing Site'!$A$2:$F$338,6,FALSE)</f>
        <v>9</v>
      </c>
    </row>
    <row r="223" spans="1:12">
      <c r="A223" s="16">
        <v>70003</v>
      </c>
      <c r="B223" s="16" t="str">
        <f>VLOOKUP(A223,'Reg Sheet'!A$2:F$357,6,FALSE)</f>
        <v>Elem</v>
      </c>
      <c r="C223" s="4" t="s">
        <v>231</v>
      </c>
      <c r="D223" s="4" t="s">
        <v>229</v>
      </c>
      <c r="E223" s="4" t="str">
        <f>VLOOKUP(A223,'Reg Sheet'!A$2:G$357,7,FALSE)</f>
        <v>5th</v>
      </c>
      <c r="F223" s="5" t="s">
        <v>15</v>
      </c>
      <c r="G223" s="5">
        <f t="shared" ca="1" si="6"/>
        <v>512</v>
      </c>
      <c r="H223" s="5">
        <f t="shared" ca="1" si="7"/>
        <v>14</v>
      </c>
      <c r="I223" s="5">
        <v>254</v>
      </c>
      <c r="J223" s="5">
        <v>5</v>
      </c>
      <c r="K223" s="5">
        <f ca="1">VLOOKUP(A223,'Kealing Site'!$A$2:$E$338,5,FALSE)</f>
        <v>258</v>
      </c>
      <c r="L223" s="5">
        <f ca="1">VLOOKUP(A223,'Kealing Site'!$A$2:$F$338,6,FALSE)</f>
        <v>9</v>
      </c>
    </row>
    <row r="224" spans="1:12">
      <c r="A224" s="16">
        <v>70005</v>
      </c>
      <c r="B224" s="16" t="str">
        <f>VLOOKUP(A224,'Reg Sheet'!A$2:F$357,6,FALSE)</f>
        <v>Elem</v>
      </c>
      <c r="C224" s="4" t="s">
        <v>233</v>
      </c>
      <c r="D224" s="4" t="s">
        <v>229</v>
      </c>
      <c r="E224" s="4" t="str">
        <f>VLOOKUP(A224,'Reg Sheet'!A$2:G$357,7,FALSE)</f>
        <v>5th</v>
      </c>
      <c r="F224" s="5" t="s">
        <v>13</v>
      </c>
      <c r="G224" s="5">
        <f t="shared" ca="1" si="6"/>
        <v>510</v>
      </c>
      <c r="H224" s="5">
        <f t="shared" ca="1" si="7"/>
        <v>11</v>
      </c>
      <c r="I224" s="5">
        <v>250</v>
      </c>
      <c r="J224" s="5">
        <v>4</v>
      </c>
      <c r="K224" s="5">
        <f ca="1">VLOOKUP(A224,'Kealing Site'!$A$2:$E$338,5,FALSE)</f>
        <v>260</v>
      </c>
      <c r="L224" s="5">
        <f ca="1">VLOOKUP(A224,'Kealing Site'!$A$2:$F$338,6,FALSE)</f>
        <v>7</v>
      </c>
    </row>
    <row r="225" spans="1:12">
      <c r="A225" s="16">
        <v>70014</v>
      </c>
      <c r="B225" s="16" t="str">
        <f>VLOOKUP(A225,'Reg Sheet'!A$2:F$357,6,FALSE)</f>
        <v>Elem</v>
      </c>
      <c r="C225" s="4" t="s">
        <v>242</v>
      </c>
      <c r="D225" s="4" t="s">
        <v>229</v>
      </c>
      <c r="E225" s="4" t="str">
        <f>VLOOKUP(A225,'Reg Sheet'!A$2:G$357,7,FALSE)</f>
        <v>5th</v>
      </c>
      <c r="F225" s="5" t="s">
        <v>15</v>
      </c>
      <c r="G225" s="5">
        <f t="shared" ca="1" si="6"/>
        <v>510</v>
      </c>
      <c r="H225" s="5">
        <f t="shared" ca="1" si="7"/>
        <v>11</v>
      </c>
      <c r="I225" s="5">
        <v>259</v>
      </c>
      <c r="J225" s="5">
        <v>5</v>
      </c>
      <c r="K225" s="5">
        <f ca="1">VLOOKUP(A225,'Kealing Site'!$A$2:$E$338,5,FALSE)</f>
        <v>251</v>
      </c>
      <c r="L225" s="5">
        <f ca="1">VLOOKUP(A225,'Kealing Site'!$A$2:$F$338,6,FALSE)</f>
        <v>6</v>
      </c>
    </row>
    <row r="226" spans="1:12">
      <c r="A226" s="16">
        <v>70004</v>
      </c>
      <c r="B226" s="16" t="str">
        <f>VLOOKUP(A226,'Reg Sheet'!A$2:F$357,6,FALSE)</f>
        <v>Elem</v>
      </c>
      <c r="C226" s="4" t="s">
        <v>232</v>
      </c>
      <c r="D226" s="4" t="s">
        <v>229</v>
      </c>
      <c r="E226" s="4" t="str">
        <f>VLOOKUP(A226,'Reg Sheet'!A$2:G$357,7,FALSE)</f>
        <v>5th</v>
      </c>
      <c r="F226" s="5" t="s">
        <v>13</v>
      </c>
      <c r="G226" s="5">
        <f t="shared" ref="G226:G257" ca="1" si="8">I226+K226</f>
        <v>504</v>
      </c>
      <c r="H226" s="5">
        <f t="shared" ref="H226:H257" ca="1" si="9">J226+L226</f>
        <v>12</v>
      </c>
      <c r="I226" s="5">
        <v>260</v>
      </c>
      <c r="J226" s="5">
        <v>7</v>
      </c>
      <c r="K226" s="5">
        <f ca="1">VLOOKUP(A226,'Kealing Site'!$A$2:$E$338,5,FALSE)</f>
        <v>244</v>
      </c>
      <c r="L226" s="5">
        <f ca="1">VLOOKUP(A226,'Kealing Site'!$A$2:$F$338,6,FALSE)</f>
        <v>5</v>
      </c>
    </row>
    <row r="227" spans="1:12">
      <c r="A227" s="16">
        <v>70022</v>
      </c>
      <c r="B227" s="16" t="str">
        <f>VLOOKUP(A227,'Reg Sheet'!A$2:F$357,6,FALSE)</f>
        <v>Elem</v>
      </c>
      <c r="C227" s="4" t="s">
        <v>250</v>
      </c>
      <c r="D227" s="4" t="s">
        <v>229</v>
      </c>
      <c r="E227" s="4" t="str">
        <f>VLOOKUP(A227,'Reg Sheet'!A$2:G$357,7,FALSE)</f>
        <v>5th</v>
      </c>
      <c r="F227" s="5" t="s">
        <v>13</v>
      </c>
      <c r="G227" s="5">
        <f t="shared" ca="1" si="8"/>
        <v>504</v>
      </c>
      <c r="H227" s="5">
        <f t="shared" ca="1" si="9"/>
        <v>10</v>
      </c>
      <c r="I227" s="5">
        <v>257</v>
      </c>
      <c r="J227" s="5">
        <v>4</v>
      </c>
      <c r="K227" s="5">
        <f ca="1">VLOOKUP(A227,'Kealing Site'!$A$2:$E$338,5,FALSE)</f>
        <v>247</v>
      </c>
      <c r="L227" s="5">
        <f ca="1">VLOOKUP(A227,'Kealing Site'!$A$2:$F$338,6,FALSE)</f>
        <v>6</v>
      </c>
    </row>
    <row r="228" spans="1:12">
      <c r="A228" s="16">
        <v>70032</v>
      </c>
      <c r="B228" s="16" t="str">
        <f>VLOOKUP(A228,'Reg Sheet'!A$2:F$357,6,FALSE)</f>
        <v>Elem</v>
      </c>
      <c r="C228" s="4" t="s">
        <v>260</v>
      </c>
      <c r="D228" s="4" t="s">
        <v>229</v>
      </c>
      <c r="E228" s="4" t="str">
        <f>VLOOKUP(A228,'Reg Sheet'!A$2:G$357,7,FALSE)</f>
        <v>5th</v>
      </c>
      <c r="F228" s="5" t="s">
        <v>13</v>
      </c>
      <c r="G228" s="5">
        <f t="shared" ca="1" si="8"/>
        <v>504</v>
      </c>
      <c r="H228" s="5">
        <f t="shared" ca="1" si="9"/>
        <v>18</v>
      </c>
      <c r="I228" s="5">
        <v>254</v>
      </c>
      <c r="J228" s="5">
        <v>10</v>
      </c>
      <c r="K228" s="5">
        <f ca="1">VLOOKUP(A228,'Kealing Site'!$A$2:$E$338,5,FALSE)</f>
        <v>250</v>
      </c>
      <c r="L228" s="5">
        <f ca="1">VLOOKUP(A228,'Kealing Site'!$A$2:$F$338,6,FALSE)</f>
        <v>8</v>
      </c>
    </row>
    <row r="229" spans="1:12">
      <c r="A229" s="16">
        <v>70042</v>
      </c>
      <c r="B229" s="16" t="str">
        <f>VLOOKUP(A229,'Reg Sheet'!A$2:F$357,6,FALSE)</f>
        <v>Elem</v>
      </c>
      <c r="C229" s="4" t="s">
        <v>269</v>
      </c>
      <c r="D229" s="4" t="s">
        <v>229</v>
      </c>
      <c r="E229" s="4" t="str">
        <f>VLOOKUP(A229,'Reg Sheet'!A$2:G$357,7,FALSE)</f>
        <v>5th</v>
      </c>
      <c r="F229" s="5" t="s">
        <v>15</v>
      </c>
      <c r="G229" s="5">
        <f t="shared" ca="1" si="8"/>
        <v>504</v>
      </c>
      <c r="H229" s="5">
        <f t="shared" ca="1" si="9"/>
        <v>13</v>
      </c>
      <c r="I229" s="5">
        <v>261</v>
      </c>
      <c r="J229" s="5">
        <v>10</v>
      </c>
      <c r="K229" s="5">
        <f ca="1">VLOOKUP(A229,'Kealing Site'!$A$2:$E$338,5,FALSE)</f>
        <v>243</v>
      </c>
      <c r="L229" s="5">
        <f ca="1">VLOOKUP(A229,'Kealing Site'!$A$2:$F$338,6,FALSE)</f>
        <v>3</v>
      </c>
    </row>
    <row r="230" spans="1:12">
      <c r="A230" s="16">
        <v>70012</v>
      </c>
      <c r="B230" s="16" t="str">
        <f>VLOOKUP(A230,'Reg Sheet'!A$2:F$357,6,FALSE)</f>
        <v>Elem</v>
      </c>
      <c r="C230" s="4" t="s">
        <v>240</v>
      </c>
      <c r="D230" s="4" t="s">
        <v>229</v>
      </c>
      <c r="E230" s="4" t="str">
        <f>VLOOKUP(A230,'Reg Sheet'!A$2:G$357,7,FALSE)</f>
        <v>5th</v>
      </c>
      <c r="F230" s="5" t="s">
        <v>15</v>
      </c>
      <c r="G230" s="5">
        <f t="shared" ca="1" si="8"/>
        <v>498</v>
      </c>
      <c r="H230" s="5">
        <f t="shared" ca="1" si="9"/>
        <v>6</v>
      </c>
      <c r="I230" s="5">
        <v>248</v>
      </c>
      <c r="J230" s="5">
        <v>2</v>
      </c>
      <c r="K230" s="5">
        <f ca="1">VLOOKUP(A230,'Kealing Site'!$A$2:$E$338,5,FALSE)</f>
        <v>250</v>
      </c>
      <c r="L230" s="5">
        <f ca="1">VLOOKUP(A230,'Kealing Site'!$A$2:$F$338,6,FALSE)</f>
        <v>4</v>
      </c>
    </row>
    <row r="231" spans="1:12">
      <c r="A231" s="16">
        <v>70010</v>
      </c>
      <c r="B231" s="16" t="str">
        <f>VLOOKUP(A231,'Reg Sheet'!A$2:F$357,6,FALSE)</f>
        <v>Elem</v>
      </c>
      <c r="C231" s="4" t="s">
        <v>238</v>
      </c>
      <c r="D231" s="4" t="s">
        <v>229</v>
      </c>
      <c r="E231" s="4" t="str">
        <f>VLOOKUP(A231,'Reg Sheet'!A$2:G$357,7,FALSE)</f>
        <v>5th</v>
      </c>
      <c r="F231" s="5" t="s">
        <v>15</v>
      </c>
      <c r="G231" s="5">
        <f t="shared" ca="1" si="8"/>
        <v>496</v>
      </c>
      <c r="H231" s="5">
        <f t="shared" ca="1" si="9"/>
        <v>12</v>
      </c>
      <c r="I231" s="5">
        <v>250</v>
      </c>
      <c r="J231" s="5">
        <v>6</v>
      </c>
      <c r="K231" s="5">
        <f ca="1">VLOOKUP(A231,'Kealing Site'!$A$2:$E$338,5,FALSE)</f>
        <v>246</v>
      </c>
      <c r="L231" s="5">
        <f ca="1">VLOOKUP(A231,'Kealing Site'!$A$2:$F$338,6,FALSE)</f>
        <v>6</v>
      </c>
    </row>
    <row r="232" spans="1:12">
      <c r="A232" s="16">
        <v>70019</v>
      </c>
      <c r="B232" s="16" t="str">
        <f>VLOOKUP(A232,'Reg Sheet'!A$2:F$357,6,FALSE)</f>
        <v>Elem</v>
      </c>
      <c r="C232" s="4" t="s">
        <v>247</v>
      </c>
      <c r="D232" s="4" t="s">
        <v>229</v>
      </c>
      <c r="E232" s="4" t="str">
        <f>VLOOKUP(A232,'Reg Sheet'!A$2:G$357,7,FALSE)</f>
        <v>5th</v>
      </c>
      <c r="F232" s="5" t="s">
        <v>13</v>
      </c>
      <c r="G232" s="5">
        <f t="shared" ca="1" si="8"/>
        <v>496</v>
      </c>
      <c r="H232" s="5">
        <f t="shared" ca="1" si="9"/>
        <v>10</v>
      </c>
      <c r="I232" s="5">
        <v>259</v>
      </c>
      <c r="J232" s="5">
        <v>6</v>
      </c>
      <c r="K232" s="5">
        <f ca="1">VLOOKUP(A232,'Kealing Site'!$A$2:$E$338,5,FALSE)</f>
        <v>237</v>
      </c>
      <c r="L232" s="5">
        <f ca="1">VLOOKUP(A232,'Kealing Site'!$A$2:$F$338,6,FALSE)</f>
        <v>4</v>
      </c>
    </row>
    <row r="233" spans="1:12">
      <c r="A233" s="16">
        <v>70023</v>
      </c>
      <c r="B233" s="16" t="str">
        <f>VLOOKUP(A233,'Reg Sheet'!A$2:F$357,6,FALSE)</f>
        <v>Elem</v>
      </c>
      <c r="C233" s="4" t="s">
        <v>251</v>
      </c>
      <c r="D233" s="4" t="s">
        <v>229</v>
      </c>
      <c r="E233" s="4" t="str">
        <f>VLOOKUP(A233,'Reg Sheet'!A$2:G$357,7,FALSE)</f>
        <v>5th</v>
      </c>
      <c r="F233" s="5" t="s">
        <v>13</v>
      </c>
      <c r="G233" s="5">
        <f t="shared" ca="1" si="8"/>
        <v>488</v>
      </c>
      <c r="H233" s="5">
        <f t="shared" ca="1" si="9"/>
        <v>15</v>
      </c>
      <c r="I233" s="5">
        <v>252</v>
      </c>
      <c r="J233" s="5">
        <v>5</v>
      </c>
      <c r="K233" s="5">
        <f ca="1">VLOOKUP(A233,'Kealing Site'!$A$2:$E$338,5,FALSE)</f>
        <v>236</v>
      </c>
      <c r="L233" s="5">
        <f ca="1">VLOOKUP(A233,'Kealing Site'!$A$2:$F$338,6,FALSE)</f>
        <v>10</v>
      </c>
    </row>
    <row r="234" spans="1:12">
      <c r="A234" s="16">
        <v>70027</v>
      </c>
      <c r="B234" s="16" t="str">
        <f>VLOOKUP(A234,'Reg Sheet'!A$2:F$357,6,FALSE)</f>
        <v>Elem</v>
      </c>
      <c r="C234" s="4" t="s">
        <v>255</v>
      </c>
      <c r="D234" s="4" t="s">
        <v>229</v>
      </c>
      <c r="E234" s="4" t="str">
        <f>VLOOKUP(A234,'Reg Sheet'!A$2:G$357,7,FALSE)</f>
        <v>5th</v>
      </c>
      <c r="F234" s="5" t="s">
        <v>15</v>
      </c>
      <c r="G234" s="5">
        <f t="shared" ca="1" si="8"/>
        <v>484</v>
      </c>
      <c r="H234" s="5">
        <f t="shared" ca="1" si="9"/>
        <v>8</v>
      </c>
      <c r="I234" s="5">
        <v>245</v>
      </c>
      <c r="J234" s="5">
        <v>6</v>
      </c>
      <c r="K234" s="5">
        <f ca="1">VLOOKUP(A234,'Kealing Site'!$A$2:$E$338,5,FALSE)</f>
        <v>239</v>
      </c>
      <c r="L234" s="5">
        <f ca="1">VLOOKUP(A234,'Kealing Site'!$A$2:$F$338,6,FALSE)</f>
        <v>2</v>
      </c>
    </row>
    <row r="235" spans="1:12">
      <c r="A235" s="16">
        <v>70017</v>
      </c>
      <c r="B235" s="16" t="str">
        <f>VLOOKUP(A235,'Reg Sheet'!A$2:F$357,6,FALSE)</f>
        <v>Elem</v>
      </c>
      <c r="C235" s="4" t="s">
        <v>245</v>
      </c>
      <c r="D235" s="4" t="s">
        <v>229</v>
      </c>
      <c r="E235" s="4" t="str">
        <f>VLOOKUP(A235,'Reg Sheet'!A$2:G$357,7,FALSE)</f>
        <v>5th</v>
      </c>
      <c r="F235" s="5" t="s">
        <v>13</v>
      </c>
      <c r="G235" s="5">
        <f t="shared" ca="1" si="8"/>
        <v>481</v>
      </c>
      <c r="H235" s="5">
        <f t="shared" ca="1" si="9"/>
        <v>11</v>
      </c>
      <c r="I235" s="5">
        <v>231</v>
      </c>
      <c r="J235" s="5">
        <v>4</v>
      </c>
      <c r="K235" s="5">
        <f ca="1">VLOOKUP(A235,'Kealing Site'!$A$2:$E$338,5,FALSE)</f>
        <v>250</v>
      </c>
      <c r="L235" s="5">
        <f ca="1">VLOOKUP(A235,'Kealing Site'!$A$2:$F$338,6,FALSE)</f>
        <v>7</v>
      </c>
    </row>
    <row r="236" spans="1:12">
      <c r="A236" s="16">
        <v>70015</v>
      </c>
      <c r="B236" s="16" t="str">
        <f>VLOOKUP(A236,'Reg Sheet'!A$2:F$357,6,FALSE)</f>
        <v>Elem</v>
      </c>
      <c r="C236" s="4" t="s">
        <v>243</v>
      </c>
      <c r="D236" s="4" t="s">
        <v>229</v>
      </c>
      <c r="E236" s="4" t="str">
        <f>VLOOKUP(A236,'Reg Sheet'!A$2:G$357,7,FALSE)</f>
        <v>5th</v>
      </c>
      <c r="F236" s="5" t="s">
        <v>13</v>
      </c>
      <c r="G236" s="5">
        <f t="shared" ca="1" si="8"/>
        <v>473</v>
      </c>
      <c r="H236" s="5">
        <f t="shared" ca="1" si="9"/>
        <v>7</v>
      </c>
      <c r="I236" s="5">
        <v>245</v>
      </c>
      <c r="J236" s="5">
        <v>4</v>
      </c>
      <c r="K236" s="5">
        <f ca="1">VLOOKUP(A236,'Kealing Site'!$A$2:$E$338,5,FALSE)</f>
        <v>228</v>
      </c>
      <c r="L236" s="5">
        <f ca="1">VLOOKUP(A236,'Kealing Site'!$A$2:$F$338,6,FALSE)</f>
        <v>3</v>
      </c>
    </row>
    <row r="237" spans="1:12">
      <c r="A237" s="16">
        <v>70016</v>
      </c>
      <c r="B237" s="16" t="str">
        <f>VLOOKUP(A237,'Reg Sheet'!A$2:F$357,6,FALSE)</f>
        <v>Elem</v>
      </c>
      <c r="C237" s="4" t="s">
        <v>244</v>
      </c>
      <c r="D237" s="4" t="s">
        <v>229</v>
      </c>
      <c r="E237" s="4" t="str">
        <f>VLOOKUP(A237,'Reg Sheet'!A$2:G$357,7,FALSE)</f>
        <v>5th</v>
      </c>
      <c r="F237" s="5" t="s">
        <v>15</v>
      </c>
      <c r="G237" s="5">
        <f t="shared" ca="1" si="8"/>
        <v>473</v>
      </c>
      <c r="H237" s="5">
        <f t="shared" ca="1" si="9"/>
        <v>7</v>
      </c>
      <c r="I237" s="5">
        <v>242</v>
      </c>
      <c r="J237" s="5">
        <v>3</v>
      </c>
      <c r="K237" s="5">
        <f ca="1">VLOOKUP(A237,'Kealing Site'!$A$2:$E$338,5,FALSE)</f>
        <v>231</v>
      </c>
      <c r="L237" s="5">
        <f ca="1">VLOOKUP(A237,'Kealing Site'!$A$2:$F$338,6,FALSE)</f>
        <v>4</v>
      </c>
    </row>
    <row r="238" spans="1:12">
      <c r="A238" s="16">
        <v>70039</v>
      </c>
      <c r="B238" s="16" t="str">
        <f>VLOOKUP(A238,'Reg Sheet'!A$2:F$357,6,FALSE)</f>
        <v>Elem</v>
      </c>
      <c r="C238" s="4" t="s">
        <v>266</v>
      </c>
      <c r="D238" s="4" t="s">
        <v>229</v>
      </c>
      <c r="E238" s="4" t="str">
        <f>VLOOKUP(A238,'Reg Sheet'!A$2:G$357,7,FALSE)</f>
        <v>5th</v>
      </c>
      <c r="F238" s="5" t="s">
        <v>15</v>
      </c>
      <c r="G238" s="5">
        <f t="shared" ca="1" si="8"/>
        <v>471</v>
      </c>
      <c r="H238" s="5">
        <f t="shared" ca="1" si="9"/>
        <v>9</v>
      </c>
      <c r="I238" s="5">
        <v>232</v>
      </c>
      <c r="J238" s="5">
        <v>5</v>
      </c>
      <c r="K238" s="5">
        <f ca="1">VLOOKUP(A238,'Kealing Site'!$A$2:$E$338,5,FALSE)</f>
        <v>239</v>
      </c>
      <c r="L238" s="5">
        <f ca="1">VLOOKUP(A238,'Kealing Site'!$A$2:$F$338,6,FALSE)</f>
        <v>4</v>
      </c>
    </row>
    <row r="239" spans="1:12">
      <c r="A239" s="16">
        <v>70035</v>
      </c>
      <c r="B239" s="16" t="str">
        <f>VLOOKUP(A239,'Reg Sheet'!A$2:F$357,6,FALSE)</f>
        <v>Elem</v>
      </c>
      <c r="C239" s="4" t="s">
        <v>263</v>
      </c>
      <c r="D239" s="4" t="s">
        <v>229</v>
      </c>
      <c r="E239" s="4" t="str">
        <f>VLOOKUP(A239,'Reg Sheet'!A$2:G$357,7,FALSE)</f>
        <v>5th</v>
      </c>
      <c r="F239" s="5" t="s">
        <v>15</v>
      </c>
      <c r="G239" s="5">
        <f t="shared" ca="1" si="8"/>
        <v>469</v>
      </c>
      <c r="H239" s="5">
        <f t="shared" ca="1" si="9"/>
        <v>5</v>
      </c>
      <c r="I239" s="5">
        <v>230</v>
      </c>
      <c r="J239" s="5">
        <v>1</v>
      </c>
      <c r="K239" s="5">
        <f ca="1">VLOOKUP(A239,'Kealing Site'!$A$2:$E$338,5,FALSE)</f>
        <v>239</v>
      </c>
      <c r="L239" s="5">
        <f ca="1">VLOOKUP(A239,'Kealing Site'!$A$2:$F$338,6,FALSE)</f>
        <v>4</v>
      </c>
    </row>
    <row r="240" spans="1:12">
      <c r="A240" s="16">
        <v>70008</v>
      </c>
      <c r="B240" s="16" t="str">
        <f>VLOOKUP(A240,'Reg Sheet'!A$2:F$357,6,FALSE)</f>
        <v>Elem</v>
      </c>
      <c r="C240" s="4" t="s">
        <v>236</v>
      </c>
      <c r="D240" s="4" t="s">
        <v>229</v>
      </c>
      <c r="E240" s="4" t="str">
        <f>VLOOKUP(A240,'Reg Sheet'!A$2:G$357,7,FALSE)</f>
        <v>5th</v>
      </c>
      <c r="F240" s="5" t="s">
        <v>13</v>
      </c>
      <c r="G240" s="5">
        <f t="shared" ca="1" si="8"/>
        <v>463</v>
      </c>
      <c r="H240" s="5">
        <f t="shared" ca="1" si="9"/>
        <v>9</v>
      </c>
      <c r="I240" s="5">
        <v>226</v>
      </c>
      <c r="J240" s="5">
        <v>2</v>
      </c>
      <c r="K240" s="5">
        <f ca="1">VLOOKUP(A240,'Kealing Site'!$A$2:$E$338,5,FALSE)</f>
        <v>237</v>
      </c>
      <c r="L240" s="5">
        <f ca="1">VLOOKUP(A240,'Kealing Site'!$A$2:$F$338,6,FALSE)</f>
        <v>7</v>
      </c>
    </row>
    <row r="241" spans="1:12">
      <c r="A241" s="16">
        <v>70031</v>
      </c>
      <c r="B241" s="16" t="str">
        <f>VLOOKUP(A241,'Reg Sheet'!A$2:F$357,6,FALSE)</f>
        <v>Elem</v>
      </c>
      <c r="C241" s="4" t="s">
        <v>259</v>
      </c>
      <c r="D241" s="4" t="s">
        <v>229</v>
      </c>
      <c r="E241" s="4" t="str">
        <f>VLOOKUP(A241,'Reg Sheet'!A$2:G$357,7,FALSE)</f>
        <v>5th</v>
      </c>
      <c r="F241" s="5" t="s">
        <v>15</v>
      </c>
      <c r="G241" s="5">
        <f t="shared" ca="1" si="8"/>
        <v>463</v>
      </c>
      <c r="H241" s="5">
        <f t="shared" ca="1" si="9"/>
        <v>7</v>
      </c>
      <c r="I241" s="5">
        <v>215</v>
      </c>
      <c r="J241" s="5">
        <v>1</v>
      </c>
      <c r="K241" s="5">
        <f ca="1">VLOOKUP(A241,'Kealing Site'!$A$2:$E$338,5,FALSE)</f>
        <v>248</v>
      </c>
      <c r="L241" s="5">
        <f ca="1">VLOOKUP(A241,'Kealing Site'!$A$2:$F$338,6,FALSE)</f>
        <v>6</v>
      </c>
    </row>
    <row r="242" spans="1:12">
      <c r="A242" s="16">
        <v>70026</v>
      </c>
      <c r="B242" s="16" t="str">
        <f>VLOOKUP(A242,'Reg Sheet'!A$2:F$357,6,FALSE)</f>
        <v>Elem</v>
      </c>
      <c r="C242" s="4" t="s">
        <v>254</v>
      </c>
      <c r="D242" s="4" t="s">
        <v>229</v>
      </c>
      <c r="E242" s="4" t="str">
        <f>VLOOKUP(A242,'Reg Sheet'!A$2:G$357,7,FALSE)</f>
        <v>5th</v>
      </c>
      <c r="F242" s="5" t="s">
        <v>13</v>
      </c>
      <c r="G242" s="5">
        <f t="shared" ca="1" si="8"/>
        <v>455</v>
      </c>
      <c r="H242" s="5">
        <f t="shared" ca="1" si="9"/>
        <v>10</v>
      </c>
      <c r="I242" s="5">
        <v>217</v>
      </c>
      <c r="J242" s="5">
        <v>4</v>
      </c>
      <c r="K242" s="5">
        <f ca="1">VLOOKUP(A242,'Kealing Site'!$A$2:$E$338,5,FALSE)</f>
        <v>238</v>
      </c>
      <c r="L242" s="5">
        <f ca="1">VLOOKUP(A242,'Kealing Site'!$A$2:$F$338,6,FALSE)</f>
        <v>6</v>
      </c>
    </row>
    <row r="243" spans="1:12">
      <c r="A243" s="16">
        <v>70036</v>
      </c>
      <c r="B243" s="16" t="str">
        <f>VLOOKUP(A243,'Reg Sheet'!A$2:F$357,6,FALSE)</f>
        <v>Elem</v>
      </c>
      <c r="C243" s="4" t="s">
        <v>264</v>
      </c>
      <c r="D243" s="4" t="s">
        <v>229</v>
      </c>
      <c r="E243" s="4" t="str">
        <f>VLOOKUP(A243,'Reg Sheet'!A$2:G$357,7,FALSE)</f>
        <v>5th</v>
      </c>
      <c r="F243" s="5" t="s">
        <v>15</v>
      </c>
      <c r="G243" s="5">
        <f t="shared" ca="1" si="8"/>
        <v>453</v>
      </c>
      <c r="H243" s="5">
        <f t="shared" ca="1" si="9"/>
        <v>9</v>
      </c>
      <c r="I243" s="5">
        <v>245</v>
      </c>
      <c r="J243" s="5">
        <v>6</v>
      </c>
      <c r="K243" s="5">
        <f ca="1">VLOOKUP(A243,'Kealing Site'!$A$2:$E$338,5,FALSE)</f>
        <v>208</v>
      </c>
      <c r="L243" s="5">
        <f ca="1">VLOOKUP(A243,'Kealing Site'!$A$2:$F$338,6,FALSE)</f>
        <v>3</v>
      </c>
    </row>
    <row r="244" spans="1:12">
      <c r="A244" s="16">
        <v>70011</v>
      </c>
      <c r="B244" s="16" t="str">
        <f>VLOOKUP(A244,'Reg Sheet'!A$2:F$357,6,FALSE)</f>
        <v>Elem</v>
      </c>
      <c r="C244" s="4" t="s">
        <v>239</v>
      </c>
      <c r="D244" s="4" t="s">
        <v>229</v>
      </c>
      <c r="E244" s="4" t="str">
        <f>VLOOKUP(A244,'Reg Sheet'!A$2:G$357,7,FALSE)</f>
        <v>5th</v>
      </c>
      <c r="F244" s="5" t="s">
        <v>15</v>
      </c>
      <c r="G244" s="5">
        <f t="shared" ca="1" si="8"/>
        <v>444</v>
      </c>
      <c r="H244" s="5">
        <f t="shared" ca="1" si="9"/>
        <v>10</v>
      </c>
      <c r="I244" s="5">
        <v>215</v>
      </c>
      <c r="J244" s="5">
        <v>6</v>
      </c>
      <c r="K244" s="5">
        <f ca="1">VLOOKUP(A244,'Kealing Site'!$A$2:$E$338,5,FALSE)</f>
        <v>229</v>
      </c>
      <c r="L244" s="5">
        <f ca="1">VLOOKUP(A244,'Kealing Site'!$A$2:$F$338,6,FALSE)</f>
        <v>4</v>
      </c>
    </row>
    <row r="245" spans="1:12" hidden="1">
      <c r="A245" s="16">
        <v>70037</v>
      </c>
      <c r="B245" s="16" t="str">
        <f>VLOOKUP(A245,'Reg Sheet'!A$2:F$357,6,FALSE)</f>
        <v>Elem</v>
      </c>
      <c r="C245" s="4" t="s">
        <v>265</v>
      </c>
      <c r="D245" s="4" t="s">
        <v>229</v>
      </c>
      <c r="E245" s="4" t="str">
        <f>VLOOKUP(A245,'Reg Sheet'!A$2:G$357,7,FALSE)</f>
        <v>5th</v>
      </c>
      <c r="F245" s="5" t="s">
        <v>15</v>
      </c>
      <c r="G245" s="5" t="e">
        <f t="shared" ca="1" si="8"/>
        <v>#N/A</v>
      </c>
      <c r="H245" s="5" t="e">
        <f t="shared" ca="1" si="9"/>
        <v>#N/A</v>
      </c>
      <c r="I245" s="5" t="e">
        <v>#N/A</v>
      </c>
      <c r="J245" s="5" t="e">
        <v>#N/A</v>
      </c>
      <c r="K245" s="5">
        <f ca="1">VLOOKUP(A245,'Kealing Site'!$A$2:$E$338,5,FALSE)</f>
        <v>216</v>
      </c>
      <c r="L245" s="5">
        <f ca="1">VLOOKUP(A245,'Kealing Site'!$A$2:$F$338,6,FALSE)</f>
        <v>1</v>
      </c>
    </row>
    <row r="246" spans="1:12">
      <c r="A246" s="16">
        <v>70009</v>
      </c>
      <c r="B246" s="16" t="str">
        <f>VLOOKUP(A246,'Reg Sheet'!A$2:F$357,6,FALSE)</f>
        <v>Elem</v>
      </c>
      <c r="C246" s="4" t="s">
        <v>237</v>
      </c>
      <c r="D246" s="4" t="s">
        <v>229</v>
      </c>
      <c r="E246" s="4" t="str">
        <f>VLOOKUP(A246,'Reg Sheet'!A$2:G$357,7,FALSE)</f>
        <v>5th</v>
      </c>
      <c r="F246" s="5" t="s">
        <v>13</v>
      </c>
      <c r="G246" s="5">
        <f t="shared" ca="1" si="8"/>
        <v>440</v>
      </c>
      <c r="H246" s="5">
        <f t="shared" ca="1" si="9"/>
        <v>6</v>
      </c>
      <c r="I246" s="5">
        <v>223</v>
      </c>
      <c r="J246" s="5">
        <v>4</v>
      </c>
      <c r="K246" s="5">
        <f ca="1">VLOOKUP(A246,'Kealing Site'!$A$2:$E$338,5,FALSE)</f>
        <v>217</v>
      </c>
      <c r="L246" s="5">
        <f ca="1">VLOOKUP(A246,'Kealing Site'!$A$2:$F$338,6,FALSE)</f>
        <v>2</v>
      </c>
    </row>
    <row r="247" spans="1:12">
      <c r="A247" s="16">
        <v>70025</v>
      </c>
      <c r="B247" s="16" t="str">
        <f>VLOOKUP(A247,'Reg Sheet'!A$2:F$357,6,FALSE)</f>
        <v>Elem</v>
      </c>
      <c r="C247" s="4" t="s">
        <v>253</v>
      </c>
      <c r="D247" s="4" t="s">
        <v>229</v>
      </c>
      <c r="E247" s="4" t="str">
        <f>VLOOKUP(A247,'Reg Sheet'!A$2:G$357,7,FALSE)</f>
        <v>5th</v>
      </c>
      <c r="F247" s="5" t="s">
        <v>15</v>
      </c>
      <c r="G247" s="5">
        <f t="shared" ca="1" si="8"/>
        <v>419</v>
      </c>
      <c r="H247" s="5">
        <f t="shared" ca="1" si="9"/>
        <v>8</v>
      </c>
      <c r="I247" s="5">
        <v>209</v>
      </c>
      <c r="J247" s="5">
        <v>7</v>
      </c>
      <c r="K247" s="5">
        <f ca="1">VLOOKUP(A247,'Kealing Site'!$A$2:$E$338,5,FALSE)</f>
        <v>210</v>
      </c>
      <c r="L247" s="5">
        <f ca="1">VLOOKUP(A247,'Kealing Site'!$A$2:$F$338,6,FALSE)</f>
        <v>1</v>
      </c>
    </row>
    <row r="248" spans="1:12" hidden="1">
      <c r="A248" s="16">
        <v>80001</v>
      </c>
      <c r="B248" s="16" t="str">
        <f>VLOOKUP(A248,'Reg Sheet'!A$2:F$357,6,FALSE)</f>
        <v>MS</v>
      </c>
      <c r="C248" s="4" t="s">
        <v>270</v>
      </c>
      <c r="D248" s="4" t="s">
        <v>271</v>
      </c>
      <c r="E248" s="4" t="str">
        <f>VLOOKUP(A248,'Reg Sheet'!A$2:G$357,7,FALSE)</f>
        <v>8th</v>
      </c>
      <c r="F248" s="5" t="s">
        <v>13</v>
      </c>
      <c r="G248" s="5">
        <f t="shared" ca="1" si="8"/>
        <v>526</v>
      </c>
      <c r="H248" s="5">
        <f t="shared" ca="1" si="9"/>
        <v>20</v>
      </c>
      <c r="I248" s="5">
        <v>272</v>
      </c>
      <c r="J248" s="5">
        <v>10</v>
      </c>
      <c r="K248" s="5">
        <f ca="1">VLOOKUP(A248,'Kealing Site'!$A$2:$E$338,5,FALSE)</f>
        <v>254</v>
      </c>
      <c r="L248" s="5">
        <f ca="1">VLOOKUP(A248,'Kealing Site'!$A$2:$F$338,6,FALSE)</f>
        <v>10</v>
      </c>
    </row>
    <row r="249" spans="1:12" hidden="1">
      <c r="A249" s="16">
        <v>80002</v>
      </c>
      <c r="B249" s="16" t="str">
        <f>VLOOKUP(A249,'Reg Sheet'!A$2:F$357,6,FALSE)</f>
        <v>MS</v>
      </c>
      <c r="C249" s="4" t="s">
        <v>272</v>
      </c>
      <c r="D249" s="4" t="s">
        <v>271</v>
      </c>
      <c r="E249" s="4" t="str">
        <f>VLOOKUP(A249,'Reg Sheet'!A$2:G$357,7,FALSE)</f>
        <v>8th</v>
      </c>
      <c r="F249" s="5" t="s">
        <v>15</v>
      </c>
      <c r="G249" s="5" t="e">
        <f t="shared" ca="1" si="8"/>
        <v>#N/A</v>
      </c>
      <c r="H249" s="5" t="e">
        <f t="shared" ca="1" si="9"/>
        <v>#N/A</v>
      </c>
      <c r="I249" s="5" t="e">
        <v>#N/A</v>
      </c>
      <c r="J249" s="5" t="e">
        <v>#N/A</v>
      </c>
      <c r="K249" s="5">
        <f ca="1">VLOOKUP(A249,'Kealing Site'!$A$2:$E$338,5,FALSE)</f>
        <v>269</v>
      </c>
      <c r="L249" s="5">
        <f ca="1">VLOOKUP(A249,'Kealing Site'!$A$2:$F$338,6,FALSE)</f>
        <v>11</v>
      </c>
    </row>
    <row r="250" spans="1:12" hidden="1">
      <c r="A250" s="16">
        <v>80003</v>
      </c>
      <c r="B250" s="16" t="str">
        <f>VLOOKUP(A250,'Reg Sheet'!A$2:F$357,6,FALSE)</f>
        <v>MS</v>
      </c>
      <c r="C250" s="4" t="s">
        <v>273</v>
      </c>
      <c r="D250" s="4" t="s">
        <v>271</v>
      </c>
      <c r="E250" s="4" t="str">
        <f>VLOOKUP(A250,'Reg Sheet'!A$2:G$357,7,FALSE)</f>
        <v>8th</v>
      </c>
      <c r="F250" s="5" t="s">
        <v>15</v>
      </c>
      <c r="G250" s="5" t="e">
        <f t="shared" ca="1" si="8"/>
        <v>#N/A</v>
      </c>
      <c r="H250" s="5" t="e">
        <f t="shared" ca="1" si="9"/>
        <v>#N/A</v>
      </c>
      <c r="I250" s="5">
        <v>268</v>
      </c>
      <c r="J250" s="5">
        <v>9</v>
      </c>
      <c r="K250" s="5" t="e">
        <f ca="1">VLOOKUP(A250,'Kealing Site'!$A$2:$E$338,5,FALSE)</f>
        <v>#N/A</v>
      </c>
      <c r="L250" s="5" t="e">
        <f ca="1">VLOOKUP(A250,'Kealing Site'!$A$2:$F$338,6,FALSE)</f>
        <v>#N/A</v>
      </c>
    </row>
    <row r="251" spans="1:12" hidden="1">
      <c r="A251" s="16">
        <v>80004</v>
      </c>
      <c r="B251" s="16" t="str">
        <f>VLOOKUP(A251,'Reg Sheet'!A$2:F$357,6,FALSE)</f>
        <v>MS</v>
      </c>
      <c r="C251" s="4" t="s">
        <v>274</v>
      </c>
      <c r="D251" s="4" t="s">
        <v>271</v>
      </c>
      <c r="E251" s="4" t="str">
        <f>VLOOKUP(A251,'Reg Sheet'!A$2:G$357,7,FALSE)</f>
        <v>8th</v>
      </c>
      <c r="F251" s="5" t="s">
        <v>13</v>
      </c>
      <c r="G251" s="5">
        <f t="shared" ca="1" si="8"/>
        <v>543</v>
      </c>
      <c r="H251" s="5">
        <f t="shared" ca="1" si="9"/>
        <v>20</v>
      </c>
      <c r="I251" s="5">
        <v>272</v>
      </c>
      <c r="J251" s="5">
        <v>11</v>
      </c>
      <c r="K251" s="5">
        <f ca="1">VLOOKUP(A251,'Kealing Site'!$A$2:$E$338,5,FALSE)</f>
        <v>271</v>
      </c>
      <c r="L251" s="5">
        <f ca="1">VLOOKUP(A251,'Kealing Site'!$A$2:$F$338,6,FALSE)</f>
        <v>9</v>
      </c>
    </row>
    <row r="252" spans="1:12" hidden="1">
      <c r="A252" s="16">
        <v>80005</v>
      </c>
      <c r="B252" s="16" t="str">
        <f>VLOOKUP(A252,'Reg Sheet'!A$2:F$357,6,FALSE)</f>
        <v>MS</v>
      </c>
      <c r="C252" s="4" t="s">
        <v>275</v>
      </c>
      <c r="D252" s="4" t="s">
        <v>271</v>
      </c>
      <c r="E252" s="4" t="str">
        <f>VLOOKUP(A252,'Reg Sheet'!A$2:G$357,7,FALSE)</f>
        <v>6th</v>
      </c>
      <c r="F252" s="5" t="s">
        <v>13</v>
      </c>
      <c r="G252" s="5">
        <f t="shared" ca="1" si="8"/>
        <v>486</v>
      </c>
      <c r="H252" s="5">
        <f t="shared" ca="1" si="9"/>
        <v>15</v>
      </c>
      <c r="I252" s="5">
        <v>234</v>
      </c>
      <c r="J252" s="5">
        <v>9</v>
      </c>
      <c r="K252" s="5">
        <f ca="1">VLOOKUP(A252,'Kealing Site'!$A$2:$E$338,5,FALSE)</f>
        <v>252</v>
      </c>
      <c r="L252" s="5">
        <f ca="1">VLOOKUP(A252,'Kealing Site'!$A$2:$F$338,6,FALSE)</f>
        <v>6</v>
      </c>
    </row>
    <row r="253" spans="1:12" hidden="1">
      <c r="A253" s="16">
        <v>80006</v>
      </c>
      <c r="B253" s="16" t="str">
        <f>VLOOKUP(A253,'Reg Sheet'!A$2:F$357,6,FALSE)</f>
        <v>MS</v>
      </c>
      <c r="C253" s="4" t="s">
        <v>276</v>
      </c>
      <c r="D253" s="4" t="s">
        <v>271</v>
      </c>
      <c r="E253" s="4" t="str">
        <f>VLOOKUP(A253,'Reg Sheet'!A$2:G$357,7,FALSE)</f>
        <v>6th</v>
      </c>
      <c r="F253" s="5" t="s">
        <v>13</v>
      </c>
      <c r="G253" s="5">
        <f t="shared" ca="1" si="8"/>
        <v>436</v>
      </c>
      <c r="H253" s="5">
        <f t="shared" ca="1" si="9"/>
        <v>6</v>
      </c>
      <c r="I253" s="5">
        <v>220</v>
      </c>
      <c r="J253" s="5">
        <v>3</v>
      </c>
      <c r="K253" s="5">
        <f ca="1">VLOOKUP(A253,'Kealing Site'!$A$2:$E$338,5,FALSE)</f>
        <v>216</v>
      </c>
      <c r="L253" s="5">
        <f ca="1">VLOOKUP(A253,'Kealing Site'!$A$2:$F$338,6,FALSE)</f>
        <v>3</v>
      </c>
    </row>
    <row r="254" spans="1:12" hidden="1">
      <c r="A254" s="16">
        <v>80007</v>
      </c>
      <c r="B254" s="16" t="str">
        <f>VLOOKUP(A254,'Reg Sheet'!A$2:F$357,6,FALSE)</f>
        <v>MS</v>
      </c>
      <c r="C254" s="4" t="s">
        <v>277</v>
      </c>
      <c r="D254" s="4" t="s">
        <v>271</v>
      </c>
      <c r="E254" s="4" t="str">
        <f>VLOOKUP(A254,'Reg Sheet'!A$2:G$357,7,FALSE)</f>
        <v>7th</v>
      </c>
      <c r="F254" s="5" t="s">
        <v>15</v>
      </c>
      <c r="G254" s="5">
        <f t="shared" ca="1" si="8"/>
        <v>466</v>
      </c>
      <c r="H254" s="5">
        <f t="shared" ca="1" si="9"/>
        <v>9</v>
      </c>
      <c r="I254" s="5">
        <v>247</v>
      </c>
      <c r="J254" s="5">
        <v>4</v>
      </c>
      <c r="K254" s="5">
        <f ca="1">VLOOKUP(A254,'Kealing Site'!$A$2:$E$338,5,FALSE)</f>
        <v>219</v>
      </c>
      <c r="L254" s="5">
        <f ca="1">VLOOKUP(A254,'Kealing Site'!$A$2:$F$338,6,FALSE)</f>
        <v>5</v>
      </c>
    </row>
    <row r="255" spans="1:12" hidden="1">
      <c r="A255" s="16">
        <v>80008</v>
      </c>
      <c r="B255" s="16" t="str">
        <f>VLOOKUP(A255,'Reg Sheet'!A$2:F$357,6,FALSE)</f>
        <v>MS</v>
      </c>
      <c r="C255" s="4" t="s">
        <v>278</v>
      </c>
      <c r="D255" s="4" t="s">
        <v>271</v>
      </c>
      <c r="E255" s="4" t="str">
        <f>VLOOKUP(A255,'Reg Sheet'!A$2:G$357,7,FALSE)</f>
        <v>8th</v>
      </c>
      <c r="F255" s="5" t="s">
        <v>13</v>
      </c>
      <c r="G255" s="5">
        <f t="shared" ca="1" si="8"/>
        <v>467</v>
      </c>
      <c r="H255" s="5">
        <f t="shared" ca="1" si="9"/>
        <v>5</v>
      </c>
      <c r="I255" s="5">
        <v>221</v>
      </c>
      <c r="J255" s="5">
        <v>1</v>
      </c>
      <c r="K255" s="5">
        <f ca="1">VLOOKUP(A255,'Kealing Site'!$A$2:$E$338,5,FALSE)</f>
        <v>246</v>
      </c>
      <c r="L255" s="5">
        <f ca="1">VLOOKUP(A255,'Kealing Site'!$A$2:$F$338,6,FALSE)</f>
        <v>4</v>
      </c>
    </row>
    <row r="256" spans="1:12" hidden="1">
      <c r="A256" s="16">
        <v>80009</v>
      </c>
      <c r="B256" s="16" t="str">
        <f>VLOOKUP(A256,'Reg Sheet'!A$2:F$357,6,FALSE)</f>
        <v>MS</v>
      </c>
      <c r="C256" s="4" t="s">
        <v>279</v>
      </c>
      <c r="D256" s="4" t="s">
        <v>271</v>
      </c>
      <c r="E256" s="4" t="str">
        <f>VLOOKUP(A256,'Reg Sheet'!A$2:G$357,7,FALSE)</f>
        <v>6th</v>
      </c>
      <c r="F256" s="5" t="s">
        <v>13</v>
      </c>
      <c r="G256" s="5">
        <f t="shared" ca="1" si="8"/>
        <v>330</v>
      </c>
      <c r="H256" s="5">
        <f t="shared" ca="1" si="9"/>
        <v>3</v>
      </c>
      <c r="I256" s="5">
        <v>145</v>
      </c>
      <c r="J256" s="5">
        <v>1</v>
      </c>
      <c r="K256" s="5">
        <f ca="1">VLOOKUP(A256,'Kealing Site'!$A$2:$E$338,5,FALSE)</f>
        <v>185</v>
      </c>
      <c r="L256" s="5">
        <f ca="1">VLOOKUP(A256,'Kealing Site'!$A$2:$F$338,6,FALSE)</f>
        <v>2</v>
      </c>
    </row>
    <row r="257" spans="1:12" hidden="1">
      <c r="A257" s="16">
        <v>80010</v>
      </c>
      <c r="B257" s="16" t="str">
        <f>VLOOKUP(A257,'Reg Sheet'!A$2:F$357,6,FALSE)</f>
        <v>MS</v>
      </c>
      <c r="C257" s="4" t="s">
        <v>280</v>
      </c>
      <c r="D257" s="4" t="s">
        <v>271</v>
      </c>
      <c r="E257" s="4" t="str">
        <f>VLOOKUP(A257,'Reg Sheet'!A$2:G$357,7,FALSE)</f>
        <v>7th</v>
      </c>
      <c r="F257" s="5" t="s">
        <v>13</v>
      </c>
      <c r="G257" s="5">
        <f t="shared" ca="1" si="8"/>
        <v>482</v>
      </c>
      <c r="H257" s="5">
        <f t="shared" ca="1" si="9"/>
        <v>9</v>
      </c>
      <c r="I257" s="5">
        <v>226</v>
      </c>
      <c r="J257" s="5">
        <v>2</v>
      </c>
      <c r="K257" s="5">
        <f ca="1">VLOOKUP(A257,'Kealing Site'!$A$2:$E$338,5,FALSE)</f>
        <v>256</v>
      </c>
      <c r="L257" s="5">
        <f ca="1">VLOOKUP(A257,'Kealing Site'!$A$2:$F$338,6,FALSE)</f>
        <v>7</v>
      </c>
    </row>
    <row r="258" spans="1:12" hidden="1">
      <c r="A258" s="16">
        <v>80011</v>
      </c>
      <c r="B258" s="16" t="str">
        <f>VLOOKUP(A258,'Reg Sheet'!A$2:F$357,6,FALSE)</f>
        <v>MS</v>
      </c>
      <c r="C258" s="4" t="s">
        <v>281</v>
      </c>
      <c r="D258" s="4" t="s">
        <v>271</v>
      </c>
      <c r="E258" s="4" t="str">
        <f>VLOOKUP(A258,'Reg Sheet'!A$2:G$357,7,FALSE)</f>
        <v>6th</v>
      </c>
      <c r="F258" s="5" t="s">
        <v>15</v>
      </c>
      <c r="G258" s="5">
        <f t="shared" ref="G258:G321" ca="1" si="10">I258+K258</f>
        <v>404</v>
      </c>
      <c r="H258" s="5">
        <f t="shared" ref="H258:H321" ca="1" si="11">J258+L258</f>
        <v>5</v>
      </c>
      <c r="I258" s="5">
        <v>205</v>
      </c>
      <c r="J258" s="5">
        <v>2</v>
      </c>
      <c r="K258" s="5">
        <f ca="1">VLOOKUP(A258,'Kealing Site'!$A$2:$E$338,5,FALSE)</f>
        <v>199</v>
      </c>
      <c r="L258" s="5">
        <f ca="1">VLOOKUP(A258,'Kealing Site'!$A$2:$F$338,6,FALSE)</f>
        <v>3</v>
      </c>
    </row>
    <row r="259" spans="1:12" hidden="1">
      <c r="A259" s="16">
        <v>80012</v>
      </c>
      <c r="B259" s="16" t="str">
        <f>VLOOKUP(A259,'Reg Sheet'!A$2:F$357,6,FALSE)</f>
        <v>MS</v>
      </c>
      <c r="C259" s="4" t="s">
        <v>282</v>
      </c>
      <c r="D259" s="4" t="s">
        <v>271</v>
      </c>
      <c r="E259" s="4" t="str">
        <f>VLOOKUP(A259,'Reg Sheet'!A$2:G$357,7,FALSE)</f>
        <v>6th</v>
      </c>
      <c r="F259" s="5" t="s">
        <v>13</v>
      </c>
      <c r="G259" s="5">
        <f t="shared" ca="1" si="10"/>
        <v>498</v>
      </c>
      <c r="H259" s="5">
        <f t="shared" ca="1" si="11"/>
        <v>13</v>
      </c>
      <c r="I259" s="5">
        <v>246</v>
      </c>
      <c r="J259" s="5">
        <v>3</v>
      </c>
      <c r="K259" s="5">
        <f ca="1">VLOOKUP(A259,'Kealing Site'!$A$2:$E$338,5,FALSE)</f>
        <v>252</v>
      </c>
      <c r="L259" s="5">
        <f ca="1">VLOOKUP(A259,'Kealing Site'!$A$2:$F$338,6,FALSE)</f>
        <v>10</v>
      </c>
    </row>
    <row r="260" spans="1:12" hidden="1">
      <c r="A260" s="16">
        <v>80013</v>
      </c>
      <c r="B260" s="16" t="str">
        <f>VLOOKUP(A260,'Reg Sheet'!A$2:F$357,6,FALSE)</f>
        <v>MS</v>
      </c>
      <c r="C260" s="4" t="s">
        <v>283</v>
      </c>
      <c r="D260" s="4" t="s">
        <v>271</v>
      </c>
      <c r="E260" s="4" t="str">
        <f>VLOOKUP(A260,'Reg Sheet'!A$2:G$357,7,FALSE)</f>
        <v>6th</v>
      </c>
      <c r="F260" s="5" t="s">
        <v>13</v>
      </c>
      <c r="G260" s="5">
        <f t="shared" ca="1" si="10"/>
        <v>430</v>
      </c>
      <c r="H260" s="5">
        <f t="shared" ca="1" si="11"/>
        <v>4</v>
      </c>
      <c r="I260" s="5">
        <v>213</v>
      </c>
      <c r="J260" s="5">
        <v>3</v>
      </c>
      <c r="K260" s="5">
        <f ca="1">VLOOKUP(A260,'Kealing Site'!$A$2:$E$338,5,FALSE)</f>
        <v>217</v>
      </c>
      <c r="L260" s="5">
        <f ca="1">VLOOKUP(A260,'Kealing Site'!$A$2:$F$338,6,FALSE)</f>
        <v>1</v>
      </c>
    </row>
    <row r="261" spans="1:12" hidden="1">
      <c r="A261" s="16">
        <v>80014</v>
      </c>
      <c r="B261" s="16" t="str">
        <f>VLOOKUP(A261,'Reg Sheet'!A$2:F$357,6,FALSE)</f>
        <v>MS</v>
      </c>
      <c r="C261" s="4" t="s">
        <v>284</v>
      </c>
      <c r="D261" s="4" t="s">
        <v>271</v>
      </c>
      <c r="E261" s="4" t="str">
        <f>VLOOKUP(A261,'Reg Sheet'!A$2:G$357,7,FALSE)</f>
        <v>7th</v>
      </c>
      <c r="F261" s="5" t="s">
        <v>13</v>
      </c>
      <c r="G261" s="5" t="e">
        <f t="shared" ca="1" si="10"/>
        <v>#N/A</v>
      </c>
      <c r="H261" s="5" t="e">
        <f t="shared" ca="1" si="11"/>
        <v>#N/A</v>
      </c>
      <c r="I261" s="5" t="e">
        <v>#N/A</v>
      </c>
      <c r="J261" s="5" t="e">
        <v>#N/A</v>
      </c>
      <c r="K261" s="5" t="str">
        <f ca="1">VLOOKUP(A261,'Kealing Site'!$A$2:$E$338,5,FALSE)</f>
        <v>Posting</v>
      </c>
      <c r="L261" s="5" t="str">
        <f ca="1">VLOOKUP(A261,'Kealing Site'!$A$2:$F$338,6,FALSE)</f>
        <v>Posting</v>
      </c>
    </row>
    <row r="262" spans="1:12" hidden="1">
      <c r="A262" s="16">
        <v>80015</v>
      </c>
      <c r="B262" s="16" t="str">
        <f>VLOOKUP(A262,'Reg Sheet'!A$2:F$357,6,FALSE)</f>
        <v>MS</v>
      </c>
      <c r="C262" s="4" t="s">
        <v>285</v>
      </c>
      <c r="D262" s="4" t="s">
        <v>271</v>
      </c>
      <c r="E262" s="4" t="str">
        <f>VLOOKUP(A262,'Reg Sheet'!A$2:G$357,7,FALSE)</f>
        <v>7th</v>
      </c>
      <c r="F262" s="5" t="s">
        <v>13</v>
      </c>
      <c r="G262" s="5" t="e">
        <f t="shared" ca="1" si="10"/>
        <v>#N/A</v>
      </c>
      <c r="H262" s="5" t="e">
        <f t="shared" ca="1" si="11"/>
        <v>#N/A</v>
      </c>
      <c r="I262" s="5" t="e">
        <v>#N/A</v>
      </c>
      <c r="J262" s="5" t="e">
        <v>#N/A</v>
      </c>
      <c r="K262" s="5">
        <f ca="1">VLOOKUP(A262,'Kealing Site'!$A$2:$E$338,5,FALSE)</f>
        <v>240</v>
      </c>
      <c r="L262" s="5">
        <f ca="1">VLOOKUP(A262,'Kealing Site'!$A$2:$F$338,6,FALSE)</f>
        <v>5</v>
      </c>
    </row>
    <row r="263" spans="1:12" hidden="1">
      <c r="A263" s="16">
        <v>80016</v>
      </c>
      <c r="B263" s="16" t="str">
        <f>VLOOKUP(A263,'Reg Sheet'!A$2:F$357,6,FALSE)</f>
        <v>MS</v>
      </c>
      <c r="C263" s="4" t="s">
        <v>286</v>
      </c>
      <c r="D263" s="4" t="s">
        <v>271</v>
      </c>
      <c r="E263" s="4" t="str">
        <f>VLOOKUP(A263,'Reg Sheet'!A$2:G$357,7,FALSE)</f>
        <v>6th</v>
      </c>
      <c r="F263" s="5" t="s">
        <v>13</v>
      </c>
      <c r="G263" s="5" t="e">
        <f t="shared" ca="1" si="10"/>
        <v>#N/A</v>
      </c>
      <c r="H263" s="5" t="e">
        <f t="shared" ca="1" si="11"/>
        <v>#N/A</v>
      </c>
      <c r="I263" s="5" t="e">
        <v>#N/A</v>
      </c>
      <c r="J263" s="5" t="e">
        <v>#N/A</v>
      </c>
      <c r="K263" s="5">
        <f ca="1">VLOOKUP(A263,'Kealing Site'!$A$2:$E$338,5,FALSE)</f>
        <v>241</v>
      </c>
      <c r="L263" s="5">
        <f ca="1">VLOOKUP(A263,'Kealing Site'!$A$2:$F$338,6,FALSE)</f>
        <v>3</v>
      </c>
    </row>
    <row r="264" spans="1:12" hidden="1">
      <c r="A264" s="16">
        <v>80017</v>
      </c>
      <c r="B264" s="16" t="str">
        <f>VLOOKUP(A264,'Reg Sheet'!A$2:F$357,6,FALSE)</f>
        <v>MS</v>
      </c>
      <c r="C264" s="4" t="s">
        <v>287</v>
      </c>
      <c r="D264" s="4" t="s">
        <v>271</v>
      </c>
      <c r="E264" s="4" t="str">
        <f>VLOOKUP(A264,'Reg Sheet'!A$2:G$357,7,FALSE)</f>
        <v>6th</v>
      </c>
      <c r="F264" s="5" t="s">
        <v>15</v>
      </c>
      <c r="G264" s="5">
        <f t="shared" ca="1" si="10"/>
        <v>417</v>
      </c>
      <c r="H264" s="5">
        <f t="shared" ca="1" si="11"/>
        <v>3</v>
      </c>
      <c r="I264" s="5">
        <v>194</v>
      </c>
      <c r="J264" s="5">
        <v>2</v>
      </c>
      <c r="K264" s="5">
        <f ca="1">VLOOKUP(A264,'Kealing Site'!$A$2:$E$338,5,FALSE)</f>
        <v>223</v>
      </c>
      <c r="L264" s="5">
        <f ca="1">VLOOKUP(A264,'Kealing Site'!$A$2:$F$338,6,FALSE)</f>
        <v>1</v>
      </c>
    </row>
    <row r="265" spans="1:12" hidden="1">
      <c r="A265" s="16">
        <v>80018</v>
      </c>
      <c r="B265" s="16" t="str">
        <f>VLOOKUP(A265,'Reg Sheet'!A$2:F$357,6,FALSE)</f>
        <v>MS</v>
      </c>
      <c r="C265" s="4" t="s">
        <v>288</v>
      </c>
      <c r="D265" s="4" t="s">
        <v>271</v>
      </c>
      <c r="E265" s="4" t="str">
        <f>VLOOKUP(A265,'Reg Sheet'!A$2:G$357,7,FALSE)</f>
        <v>6th</v>
      </c>
      <c r="F265" s="5" t="s">
        <v>13</v>
      </c>
      <c r="G265" s="5">
        <f t="shared" ca="1" si="10"/>
        <v>529</v>
      </c>
      <c r="H265" s="5">
        <f t="shared" ca="1" si="11"/>
        <v>19</v>
      </c>
      <c r="I265" s="5">
        <v>263</v>
      </c>
      <c r="J265" s="5">
        <v>9</v>
      </c>
      <c r="K265" s="5">
        <f ca="1">VLOOKUP(A265,'Kealing Site'!$A$2:$E$338,5,FALSE)</f>
        <v>266</v>
      </c>
      <c r="L265" s="5">
        <f ca="1">VLOOKUP(A265,'Kealing Site'!$A$2:$F$338,6,FALSE)</f>
        <v>10</v>
      </c>
    </row>
    <row r="266" spans="1:12" hidden="1">
      <c r="A266" s="16">
        <v>80019</v>
      </c>
      <c r="B266" s="16" t="str">
        <f>VLOOKUP(A266,'Reg Sheet'!A$2:F$357,6,FALSE)</f>
        <v>MS</v>
      </c>
      <c r="C266" s="4" t="s">
        <v>289</v>
      </c>
      <c r="D266" s="4" t="s">
        <v>271</v>
      </c>
      <c r="E266" s="4" t="str">
        <f>VLOOKUP(A266,'Reg Sheet'!A$2:G$357,7,FALSE)</f>
        <v>6th</v>
      </c>
      <c r="F266" s="5" t="s">
        <v>13</v>
      </c>
      <c r="G266" s="5">
        <f t="shared" ca="1" si="10"/>
        <v>419</v>
      </c>
      <c r="H266" s="5">
        <f t="shared" ca="1" si="11"/>
        <v>5</v>
      </c>
      <c r="I266" s="5">
        <v>199</v>
      </c>
      <c r="J266" s="5">
        <v>1</v>
      </c>
      <c r="K266" s="5">
        <f ca="1">VLOOKUP(A266,'Kealing Site'!$A$2:$E$338,5,FALSE)</f>
        <v>220</v>
      </c>
      <c r="L266" s="5">
        <f ca="1">VLOOKUP(A266,'Kealing Site'!$A$2:$F$338,6,FALSE)</f>
        <v>4</v>
      </c>
    </row>
    <row r="267" spans="1:12" hidden="1">
      <c r="A267" s="16">
        <v>80020</v>
      </c>
      <c r="B267" s="16" t="str">
        <f>VLOOKUP(A267,'Reg Sheet'!A$2:F$357,6,FALSE)</f>
        <v>MS</v>
      </c>
      <c r="C267" s="4" t="s">
        <v>290</v>
      </c>
      <c r="D267" s="4" t="s">
        <v>271</v>
      </c>
      <c r="E267" s="4" t="str">
        <f>VLOOKUP(A267,'Reg Sheet'!A$2:G$357,7,FALSE)</f>
        <v>8th</v>
      </c>
      <c r="F267" s="5" t="s">
        <v>13</v>
      </c>
      <c r="G267" s="5" t="e">
        <f t="shared" ca="1" si="10"/>
        <v>#N/A</v>
      </c>
      <c r="H267" s="5" t="e">
        <f t="shared" ca="1" si="11"/>
        <v>#N/A</v>
      </c>
      <c r="I267" s="5" t="e">
        <v>#N/A</v>
      </c>
      <c r="J267" s="5" t="e">
        <v>#N/A</v>
      </c>
      <c r="K267" s="5">
        <f ca="1">VLOOKUP(A267,'Kealing Site'!$A$2:$E$338,5,FALSE)</f>
        <v>223</v>
      </c>
      <c r="L267" s="5">
        <f ca="1">VLOOKUP(A267,'Kealing Site'!$A$2:$F$338,6,FALSE)</f>
        <v>1</v>
      </c>
    </row>
    <row r="268" spans="1:12" hidden="1">
      <c r="A268" s="16">
        <v>80021</v>
      </c>
      <c r="B268" s="16" t="str">
        <f>VLOOKUP(A268,'Reg Sheet'!A$2:F$357,6,FALSE)</f>
        <v>MS</v>
      </c>
      <c r="C268" s="4" t="s">
        <v>291</v>
      </c>
      <c r="D268" s="4" t="s">
        <v>271</v>
      </c>
      <c r="E268" s="4" t="str">
        <f>VLOOKUP(A268,'Reg Sheet'!A$2:G$357,7,FALSE)</f>
        <v>7th</v>
      </c>
      <c r="F268" s="5" t="s">
        <v>15</v>
      </c>
      <c r="G268" s="5">
        <f t="shared" ca="1" si="10"/>
        <v>491</v>
      </c>
      <c r="H268" s="5">
        <f t="shared" ca="1" si="11"/>
        <v>14</v>
      </c>
      <c r="I268" s="5">
        <v>263</v>
      </c>
      <c r="J268" s="5">
        <v>11</v>
      </c>
      <c r="K268" s="5">
        <f ca="1">VLOOKUP(A268,'Kealing Site'!$A$2:$E$338,5,FALSE)</f>
        <v>228</v>
      </c>
      <c r="L268" s="5">
        <f ca="1">VLOOKUP(A268,'Kealing Site'!$A$2:$F$338,6,FALSE)</f>
        <v>3</v>
      </c>
    </row>
    <row r="269" spans="1:12" hidden="1">
      <c r="A269" s="16">
        <v>80022</v>
      </c>
      <c r="B269" s="16" t="str">
        <f>VLOOKUP(A269,'Reg Sheet'!A$2:F$357,6,FALSE)</f>
        <v>MS</v>
      </c>
      <c r="C269" s="4" t="s">
        <v>292</v>
      </c>
      <c r="D269" s="4" t="s">
        <v>271</v>
      </c>
      <c r="E269" s="4" t="str">
        <f>VLOOKUP(A269,'Reg Sheet'!A$2:G$357,7,FALSE)</f>
        <v>8th</v>
      </c>
      <c r="F269" s="5" t="s">
        <v>13</v>
      </c>
      <c r="G269" s="5" t="e">
        <f t="shared" ca="1" si="10"/>
        <v>#N/A</v>
      </c>
      <c r="H269" s="5" t="e">
        <f t="shared" ca="1" si="11"/>
        <v>#N/A</v>
      </c>
      <c r="I269" s="5" t="e">
        <v>#N/A</v>
      </c>
      <c r="J269" s="5" t="e">
        <v>#N/A</v>
      </c>
      <c r="K269" s="5">
        <f ca="1">VLOOKUP(A269,'Kealing Site'!$A$2:$E$338,5,FALSE)</f>
        <v>264</v>
      </c>
      <c r="L269" s="5">
        <f ca="1">VLOOKUP(A269,'Kealing Site'!$A$2:$F$338,6,FALSE)</f>
        <v>7</v>
      </c>
    </row>
    <row r="270" spans="1:12" hidden="1">
      <c r="A270" s="16">
        <v>80023</v>
      </c>
      <c r="B270" s="16" t="str">
        <f>VLOOKUP(A270,'Reg Sheet'!A$2:F$357,6,FALSE)</f>
        <v>MS</v>
      </c>
      <c r="C270" s="4" t="s">
        <v>293</v>
      </c>
      <c r="D270" s="4" t="s">
        <v>271</v>
      </c>
      <c r="E270" s="4" t="str">
        <f>VLOOKUP(A270,'Reg Sheet'!A$2:G$357,7,FALSE)</f>
        <v>8th</v>
      </c>
      <c r="F270" s="5" t="s">
        <v>15</v>
      </c>
      <c r="G270" s="5">
        <f t="shared" ca="1" si="10"/>
        <v>527</v>
      </c>
      <c r="H270" s="5">
        <f t="shared" ca="1" si="11"/>
        <v>20</v>
      </c>
      <c r="I270" s="5">
        <v>265</v>
      </c>
      <c r="J270" s="5">
        <v>13</v>
      </c>
      <c r="K270" s="5">
        <f ca="1">VLOOKUP(A270,'Kealing Site'!$A$2:$E$338,5,FALSE)</f>
        <v>262</v>
      </c>
      <c r="L270" s="5">
        <f ca="1">VLOOKUP(A270,'Kealing Site'!$A$2:$F$338,6,FALSE)</f>
        <v>7</v>
      </c>
    </row>
    <row r="271" spans="1:12" hidden="1">
      <c r="A271" s="16">
        <v>80024</v>
      </c>
      <c r="B271" s="16" t="str">
        <f>VLOOKUP(A271,'Reg Sheet'!A$2:F$357,6,FALSE)</f>
        <v>MS</v>
      </c>
      <c r="C271" s="4" t="s">
        <v>294</v>
      </c>
      <c r="D271" s="4" t="s">
        <v>271</v>
      </c>
      <c r="E271" s="4" t="str">
        <f>VLOOKUP(A271,'Reg Sheet'!A$2:G$357,7,FALSE)</f>
        <v>7th</v>
      </c>
      <c r="F271" s="5" t="s">
        <v>15</v>
      </c>
      <c r="G271" s="5">
        <f t="shared" ca="1" si="10"/>
        <v>422</v>
      </c>
      <c r="H271" s="5">
        <f t="shared" ca="1" si="11"/>
        <v>4</v>
      </c>
      <c r="I271" s="5">
        <v>214</v>
      </c>
      <c r="J271" s="5">
        <v>3</v>
      </c>
      <c r="K271" s="5">
        <f ca="1">VLOOKUP(A271,'Kealing Site'!$A$2:$E$338,5,FALSE)</f>
        <v>208</v>
      </c>
      <c r="L271" s="5">
        <f ca="1">VLOOKUP(A271,'Kealing Site'!$A$2:$F$338,6,FALSE)</f>
        <v>1</v>
      </c>
    </row>
    <row r="272" spans="1:12" hidden="1">
      <c r="A272" s="16">
        <v>80025</v>
      </c>
      <c r="B272" s="16" t="str">
        <f>VLOOKUP(A272,'Reg Sheet'!A$2:F$357,6,FALSE)</f>
        <v>MS</v>
      </c>
      <c r="C272" s="4" t="s">
        <v>295</v>
      </c>
      <c r="D272" s="4" t="s">
        <v>271</v>
      </c>
      <c r="E272" s="4" t="str">
        <f>VLOOKUP(A272,'Reg Sheet'!A$2:G$357,7,FALSE)</f>
        <v>7th</v>
      </c>
      <c r="F272" s="5" t="s">
        <v>13</v>
      </c>
      <c r="G272" s="5">
        <f t="shared" ca="1" si="10"/>
        <v>551</v>
      </c>
      <c r="H272" s="5">
        <f t="shared" ca="1" si="11"/>
        <v>29</v>
      </c>
      <c r="I272" s="5">
        <v>275</v>
      </c>
      <c r="J272" s="5">
        <v>14</v>
      </c>
      <c r="K272" s="5">
        <f ca="1">VLOOKUP(A272,'Kealing Site'!$A$2:$E$338,5,FALSE)</f>
        <v>276</v>
      </c>
      <c r="L272" s="5">
        <f ca="1">VLOOKUP(A272,'Kealing Site'!$A$2:$F$338,6,FALSE)</f>
        <v>15</v>
      </c>
    </row>
    <row r="273" spans="1:12" hidden="1">
      <c r="A273" s="16">
        <v>80026</v>
      </c>
      <c r="B273" s="16" t="str">
        <f>VLOOKUP(A273,'Reg Sheet'!A$2:F$357,6,FALSE)</f>
        <v>MS</v>
      </c>
      <c r="C273" s="4" t="s">
        <v>296</v>
      </c>
      <c r="D273" s="4" t="s">
        <v>271</v>
      </c>
      <c r="E273" s="4" t="str">
        <f>VLOOKUP(A273,'Reg Sheet'!A$2:G$357,7,FALSE)</f>
        <v>6th</v>
      </c>
      <c r="F273" s="5" t="s">
        <v>15</v>
      </c>
      <c r="G273" s="5" t="e">
        <f t="shared" ca="1" si="10"/>
        <v>#N/A</v>
      </c>
      <c r="H273" s="5" t="e">
        <f t="shared" ca="1" si="11"/>
        <v>#N/A</v>
      </c>
      <c r="I273" s="5" t="e">
        <v>#N/A</v>
      </c>
      <c r="J273" s="5" t="e">
        <v>#N/A</v>
      </c>
      <c r="K273" s="5" t="str">
        <f ca="1">VLOOKUP(A273,'Kealing Site'!$A$2:$E$338,5,FALSE)</f>
        <v>Posting</v>
      </c>
      <c r="L273" s="5" t="str">
        <f ca="1">VLOOKUP(A273,'Kealing Site'!$A$2:$F$338,6,FALSE)</f>
        <v>Posting</v>
      </c>
    </row>
    <row r="274" spans="1:12" hidden="1">
      <c r="A274" s="16">
        <v>80027</v>
      </c>
      <c r="B274" s="16" t="str">
        <f>VLOOKUP(A274,'Reg Sheet'!A$2:F$357,6,FALSE)</f>
        <v>MS</v>
      </c>
      <c r="C274" s="4" t="s">
        <v>297</v>
      </c>
      <c r="D274" s="4" t="s">
        <v>271</v>
      </c>
      <c r="E274" s="4" t="str">
        <f>VLOOKUP(A274,'Reg Sheet'!A$2:G$357,7,FALSE)</f>
        <v>7th</v>
      </c>
      <c r="F274" s="5" t="s">
        <v>13</v>
      </c>
      <c r="G274" s="5">
        <f t="shared" ca="1" si="10"/>
        <v>485</v>
      </c>
      <c r="H274" s="5">
        <f t="shared" ca="1" si="11"/>
        <v>14</v>
      </c>
      <c r="I274" s="5">
        <v>240</v>
      </c>
      <c r="J274" s="5">
        <v>5</v>
      </c>
      <c r="K274" s="5">
        <f ca="1">VLOOKUP(A274,'Kealing Site'!$A$2:$E$338,5,FALSE)</f>
        <v>245</v>
      </c>
      <c r="L274" s="5">
        <f ca="1">VLOOKUP(A274,'Kealing Site'!$A$2:$F$338,6,FALSE)</f>
        <v>9</v>
      </c>
    </row>
    <row r="275" spans="1:12" hidden="1">
      <c r="A275" s="16">
        <v>80028</v>
      </c>
      <c r="B275" s="16" t="str">
        <f>VLOOKUP(A275,'Reg Sheet'!A$2:F$357,6,FALSE)</f>
        <v>MS</v>
      </c>
      <c r="C275" s="4" t="s">
        <v>298</v>
      </c>
      <c r="D275" s="4" t="s">
        <v>271</v>
      </c>
      <c r="E275" s="4" t="str">
        <f>VLOOKUP(A275,'Reg Sheet'!A$2:G$357,7,FALSE)</f>
        <v>7th</v>
      </c>
      <c r="F275" s="5" t="s">
        <v>13</v>
      </c>
      <c r="G275" s="5">
        <f t="shared" ca="1" si="10"/>
        <v>471</v>
      </c>
      <c r="H275" s="5">
        <f t="shared" ca="1" si="11"/>
        <v>8</v>
      </c>
      <c r="I275" s="5">
        <v>232</v>
      </c>
      <c r="J275" s="5">
        <v>1</v>
      </c>
      <c r="K275" s="5">
        <f ca="1">VLOOKUP(A275,'Kealing Site'!$A$2:$E$338,5,FALSE)</f>
        <v>239</v>
      </c>
      <c r="L275" s="5">
        <f ca="1">VLOOKUP(A275,'Kealing Site'!$A$2:$F$338,6,FALSE)</f>
        <v>7</v>
      </c>
    </row>
    <row r="276" spans="1:12" hidden="1">
      <c r="A276" s="16">
        <v>80029</v>
      </c>
      <c r="B276" s="16" t="str">
        <f>VLOOKUP(A276,'Reg Sheet'!A$2:F$357,6,FALSE)</f>
        <v>MS</v>
      </c>
      <c r="C276" s="4" t="s">
        <v>299</v>
      </c>
      <c r="D276" s="4" t="s">
        <v>271</v>
      </c>
      <c r="E276" s="4" t="str">
        <f>VLOOKUP(A276,'Reg Sheet'!A$2:G$357,7,FALSE)</f>
        <v>7th</v>
      </c>
      <c r="F276" s="5" t="s">
        <v>13</v>
      </c>
      <c r="G276" s="5">
        <f t="shared" ca="1" si="10"/>
        <v>483</v>
      </c>
      <c r="H276" s="5">
        <f t="shared" ca="1" si="11"/>
        <v>10</v>
      </c>
      <c r="I276" s="5">
        <v>229</v>
      </c>
      <c r="J276" s="5">
        <v>3</v>
      </c>
      <c r="K276" s="5">
        <f ca="1">VLOOKUP(A276,'Kealing Site'!$A$2:$E$338,5,FALSE)</f>
        <v>254</v>
      </c>
      <c r="L276" s="5">
        <f ca="1">VLOOKUP(A276,'Kealing Site'!$A$2:$F$338,6,FALSE)</f>
        <v>7</v>
      </c>
    </row>
    <row r="277" spans="1:12" hidden="1">
      <c r="A277" s="16">
        <v>80030</v>
      </c>
      <c r="B277" s="16" t="str">
        <f>VLOOKUP(A277,'Reg Sheet'!A$2:F$357,6,FALSE)</f>
        <v>MS</v>
      </c>
      <c r="C277" s="4" t="s">
        <v>300</v>
      </c>
      <c r="D277" s="4" t="s">
        <v>271</v>
      </c>
      <c r="E277" s="4" t="str">
        <f>VLOOKUP(A277,'Reg Sheet'!A$2:G$357,7,FALSE)</f>
        <v>8th</v>
      </c>
      <c r="F277" s="5" t="s">
        <v>13</v>
      </c>
      <c r="G277" s="5" t="e">
        <f t="shared" ca="1" si="10"/>
        <v>#N/A</v>
      </c>
      <c r="H277" s="5" t="e">
        <f t="shared" ca="1" si="11"/>
        <v>#N/A</v>
      </c>
      <c r="I277" s="5" t="e">
        <v>#N/A</v>
      </c>
      <c r="J277" s="5" t="e">
        <v>#N/A</v>
      </c>
      <c r="K277" s="5">
        <f ca="1">VLOOKUP(A277,'Kealing Site'!$A$2:$E$338,5,FALSE)</f>
        <v>244</v>
      </c>
      <c r="L277" s="5">
        <f ca="1">VLOOKUP(A277,'Kealing Site'!$A$2:$F$338,6,FALSE)</f>
        <v>8</v>
      </c>
    </row>
    <row r="278" spans="1:12" hidden="1">
      <c r="A278" s="16">
        <v>80031</v>
      </c>
      <c r="B278" s="16" t="str">
        <f>VLOOKUP(A278,'Reg Sheet'!A$2:F$357,6,FALSE)</f>
        <v>MS</v>
      </c>
      <c r="C278" s="4" t="s">
        <v>301</v>
      </c>
      <c r="D278" s="4" t="s">
        <v>271</v>
      </c>
      <c r="E278" s="4" t="str">
        <f>VLOOKUP(A278,'Reg Sheet'!A$2:G$357,7,FALSE)</f>
        <v>6th</v>
      </c>
      <c r="F278" s="5" t="s">
        <v>13</v>
      </c>
      <c r="G278" s="5">
        <f t="shared" ca="1" si="10"/>
        <v>518</v>
      </c>
      <c r="H278" s="5">
        <f t="shared" ca="1" si="11"/>
        <v>12</v>
      </c>
      <c r="I278" s="5">
        <v>257</v>
      </c>
      <c r="J278" s="5">
        <v>6</v>
      </c>
      <c r="K278" s="5">
        <f ca="1">VLOOKUP(A278,'Kealing Site'!$A$2:$E$338,5,FALSE)</f>
        <v>261</v>
      </c>
      <c r="L278" s="5">
        <f ca="1">VLOOKUP(A278,'Kealing Site'!$A$2:$F$338,6,FALSE)</f>
        <v>6</v>
      </c>
    </row>
    <row r="279" spans="1:12" hidden="1">
      <c r="A279" s="16">
        <v>80032</v>
      </c>
      <c r="B279" s="16" t="str">
        <f>VLOOKUP(A279,'Reg Sheet'!A$2:F$357,6,FALSE)</f>
        <v>MS</v>
      </c>
      <c r="C279" s="4" t="s">
        <v>302</v>
      </c>
      <c r="D279" s="4" t="s">
        <v>271</v>
      </c>
      <c r="E279" s="4" t="str">
        <f>VLOOKUP(A279,'Reg Sheet'!A$2:G$357,7,FALSE)</f>
        <v>8th</v>
      </c>
      <c r="F279" s="5" t="s">
        <v>15</v>
      </c>
      <c r="G279" s="5">
        <f t="shared" ca="1" si="10"/>
        <v>421</v>
      </c>
      <c r="H279" s="5">
        <f t="shared" ca="1" si="11"/>
        <v>7</v>
      </c>
      <c r="I279" s="5">
        <v>205</v>
      </c>
      <c r="J279" s="5">
        <v>4</v>
      </c>
      <c r="K279" s="5">
        <f ca="1">VLOOKUP(A279,'Kealing Site'!$A$2:$E$338,5,FALSE)</f>
        <v>216</v>
      </c>
      <c r="L279" s="5">
        <f ca="1">VLOOKUP(A279,'Kealing Site'!$A$2:$F$338,6,FALSE)</f>
        <v>3</v>
      </c>
    </row>
    <row r="280" spans="1:12" hidden="1">
      <c r="A280" s="16">
        <v>80033</v>
      </c>
      <c r="B280" s="16" t="str">
        <f>VLOOKUP(A280,'Reg Sheet'!A$2:F$357,6,FALSE)</f>
        <v>MS</v>
      </c>
      <c r="C280" s="4" t="s">
        <v>303</v>
      </c>
      <c r="D280" s="4" t="s">
        <v>271</v>
      </c>
      <c r="E280" s="4" t="str">
        <f>VLOOKUP(A280,'Reg Sheet'!A$2:G$357,7,FALSE)</f>
        <v>8th</v>
      </c>
      <c r="F280" s="5" t="s">
        <v>13</v>
      </c>
      <c r="G280" s="5">
        <f t="shared" ca="1" si="10"/>
        <v>460</v>
      </c>
      <c r="H280" s="5">
        <f t="shared" ca="1" si="11"/>
        <v>8</v>
      </c>
      <c r="I280" s="5">
        <v>218</v>
      </c>
      <c r="J280" s="5">
        <v>2</v>
      </c>
      <c r="K280" s="5">
        <f ca="1">VLOOKUP(A280,'Kealing Site'!$A$2:$E$338,5,FALSE)</f>
        <v>242</v>
      </c>
      <c r="L280" s="5">
        <f ca="1">VLOOKUP(A280,'Kealing Site'!$A$2:$F$338,6,FALSE)</f>
        <v>6</v>
      </c>
    </row>
    <row r="281" spans="1:12" hidden="1">
      <c r="A281" s="16">
        <v>80034</v>
      </c>
      <c r="B281" s="16" t="str">
        <f>VLOOKUP(A281,'Reg Sheet'!A$2:F$357,6,FALSE)</f>
        <v>MS</v>
      </c>
      <c r="C281" s="4" t="s">
        <v>304</v>
      </c>
      <c r="D281" s="4" t="s">
        <v>271</v>
      </c>
      <c r="E281" s="4" t="str">
        <f>VLOOKUP(A281,'Reg Sheet'!A$2:G$357,7,FALSE)</f>
        <v>7th</v>
      </c>
      <c r="F281" s="5" t="s">
        <v>13</v>
      </c>
      <c r="G281" s="5">
        <f t="shared" ca="1" si="10"/>
        <v>541</v>
      </c>
      <c r="H281" s="5">
        <f t="shared" ca="1" si="11"/>
        <v>24</v>
      </c>
      <c r="I281" s="5">
        <v>266</v>
      </c>
      <c r="J281" s="5">
        <v>11</v>
      </c>
      <c r="K281" s="5">
        <f ca="1">VLOOKUP(A281,'Kealing Site'!$A$2:$E$338,5,FALSE)</f>
        <v>275</v>
      </c>
      <c r="L281" s="5">
        <f ca="1">VLOOKUP(A281,'Kealing Site'!$A$2:$F$338,6,FALSE)</f>
        <v>13</v>
      </c>
    </row>
    <row r="282" spans="1:12" hidden="1">
      <c r="A282" s="16">
        <v>80035</v>
      </c>
      <c r="B282" s="16" t="str">
        <f>VLOOKUP(A282,'Reg Sheet'!A$2:F$357,6,FALSE)</f>
        <v>MS</v>
      </c>
      <c r="C282" s="4" t="s">
        <v>305</v>
      </c>
      <c r="D282" s="4" t="s">
        <v>271</v>
      </c>
      <c r="E282" s="4" t="str">
        <f>VLOOKUP(A282,'Reg Sheet'!A$2:G$357,7,FALSE)</f>
        <v>7th</v>
      </c>
      <c r="F282" s="5" t="s">
        <v>13</v>
      </c>
      <c r="G282" s="5">
        <f t="shared" ca="1" si="10"/>
        <v>480</v>
      </c>
      <c r="H282" s="5">
        <f t="shared" ca="1" si="11"/>
        <v>10</v>
      </c>
      <c r="I282" s="5">
        <v>239</v>
      </c>
      <c r="J282" s="5">
        <v>3</v>
      </c>
      <c r="K282" s="5">
        <f ca="1">VLOOKUP(A282,'Kealing Site'!$A$2:$E$338,5,FALSE)</f>
        <v>241</v>
      </c>
      <c r="L282" s="5">
        <f ca="1">VLOOKUP(A282,'Kealing Site'!$A$2:$F$338,6,FALSE)</f>
        <v>7</v>
      </c>
    </row>
    <row r="283" spans="1:12" hidden="1">
      <c r="A283" s="16">
        <v>80036</v>
      </c>
      <c r="B283" s="16" t="str">
        <f>VLOOKUP(A283,'Reg Sheet'!A$2:F$357,6,FALSE)</f>
        <v>MS</v>
      </c>
      <c r="C283" s="4" t="s">
        <v>306</v>
      </c>
      <c r="D283" s="4" t="s">
        <v>271</v>
      </c>
      <c r="E283" s="4" t="str">
        <f>VLOOKUP(A283,'Reg Sheet'!A$2:G$357,7,FALSE)</f>
        <v>7th</v>
      </c>
      <c r="F283" s="5" t="s">
        <v>15</v>
      </c>
      <c r="G283" s="5">
        <f t="shared" ca="1" si="10"/>
        <v>470</v>
      </c>
      <c r="H283" s="5">
        <f t="shared" ca="1" si="11"/>
        <v>10</v>
      </c>
      <c r="I283" s="5">
        <v>228</v>
      </c>
      <c r="J283" s="5">
        <v>3</v>
      </c>
      <c r="K283" s="5">
        <f ca="1">VLOOKUP(A283,'Kealing Site'!$A$2:$E$338,5,FALSE)</f>
        <v>242</v>
      </c>
      <c r="L283" s="5">
        <f ca="1">VLOOKUP(A283,'Kealing Site'!$A$2:$F$338,6,FALSE)</f>
        <v>7</v>
      </c>
    </row>
    <row r="284" spans="1:12" hidden="1">
      <c r="A284" s="16">
        <v>80037</v>
      </c>
      <c r="B284" s="16" t="str">
        <f>VLOOKUP(A284,'Reg Sheet'!A$2:F$357,6,FALSE)</f>
        <v>MS</v>
      </c>
      <c r="C284" s="4" t="s">
        <v>307</v>
      </c>
      <c r="D284" s="4" t="s">
        <v>271</v>
      </c>
      <c r="E284" s="4" t="str">
        <f>VLOOKUP(A284,'Reg Sheet'!A$2:G$357,7,FALSE)</f>
        <v>6th</v>
      </c>
      <c r="F284" s="5" t="s">
        <v>15</v>
      </c>
      <c r="G284" s="5">
        <f t="shared" ca="1" si="10"/>
        <v>435</v>
      </c>
      <c r="H284" s="5">
        <f t="shared" ca="1" si="11"/>
        <v>4</v>
      </c>
      <c r="I284" s="5">
        <v>195</v>
      </c>
      <c r="J284" s="5">
        <v>1</v>
      </c>
      <c r="K284" s="5">
        <f ca="1">VLOOKUP(A284,'Kealing Site'!$A$2:$E$338,5,FALSE)</f>
        <v>240</v>
      </c>
      <c r="L284" s="5">
        <f ca="1">VLOOKUP(A284,'Kealing Site'!$A$2:$F$338,6,FALSE)</f>
        <v>3</v>
      </c>
    </row>
    <row r="285" spans="1:12" hidden="1">
      <c r="A285" s="16">
        <v>80038</v>
      </c>
      <c r="B285" s="16" t="str">
        <f>VLOOKUP(A285,'Reg Sheet'!A$2:F$357,6,FALSE)</f>
        <v>MS</v>
      </c>
      <c r="C285" s="4" t="s">
        <v>308</v>
      </c>
      <c r="D285" s="4" t="s">
        <v>271</v>
      </c>
      <c r="E285" s="4" t="str">
        <f>VLOOKUP(A285,'Reg Sheet'!A$2:G$357,7,FALSE)</f>
        <v>6th</v>
      </c>
      <c r="F285" s="5" t="s">
        <v>13</v>
      </c>
      <c r="G285" s="5">
        <f t="shared" ca="1" si="10"/>
        <v>485</v>
      </c>
      <c r="H285" s="5">
        <f t="shared" ca="1" si="11"/>
        <v>9</v>
      </c>
      <c r="I285" s="5">
        <v>244</v>
      </c>
      <c r="J285" s="5">
        <v>6</v>
      </c>
      <c r="K285" s="5">
        <f ca="1">VLOOKUP(A285,'Kealing Site'!$A$2:$E$338,5,FALSE)</f>
        <v>241</v>
      </c>
      <c r="L285" s="5">
        <f ca="1">VLOOKUP(A285,'Kealing Site'!$A$2:$F$338,6,FALSE)</f>
        <v>3</v>
      </c>
    </row>
    <row r="286" spans="1:12" hidden="1">
      <c r="A286" s="16">
        <v>80039</v>
      </c>
      <c r="B286" s="16" t="str">
        <f>VLOOKUP(A286,'Reg Sheet'!A$2:F$357,6,FALSE)</f>
        <v>MS</v>
      </c>
      <c r="C286" s="4" t="s">
        <v>309</v>
      </c>
      <c r="D286" s="4" t="s">
        <v>271</v>
      </c>
      <c r="E286" s="4" t="str">
        <f>VLOOKUP(A286,'Reg Sheet'!A$2:G$357,7,FALSE)</f>
        <v>8th</v>
      </c>
      <c r="F286" s="5" t="s">
        <v>15</v>
      </c>
      <c r="G286" s="5" t="e">
        <f t="shared" ca="1" si="10"/>
        <v>#N/A</v>
      </c>
      <c r="H286" s="5" t="e">
        <f t="shared" ca="1" si="11"/>
        <v>#N/A</v>
      </c>
      <c r="I286" s="5" t="e">
        <v>#N/A</v>
      </c>
      <c r="J286" s="5" t="e">
        <v>#N/A</v>
      </c>
      <c r="K286" s="5" t="str">
        <f ca="1">VLOOKUP(A286,'Kealing Site'!$A$2:$E$338,5,FALSE)</f>
        <v>Posting</v>
      </c>
      <c r="L286" s="5" t="str">
        <f ca="1">VLOOKUP(A286,'Kealing Site'!$A$2:$F$338,6,FALSE)</f>
        <v>Posting</v>
      </c>
    </row>
    <row r="287" spans="1:12" hidden="1">
      <c r="A287" s="16">
        <v>80040</v>
      </c>
      <c r="B287" s="16" t="str">
        <f>VLOOKUP(A287,'Reg Sheet'!A$2:F$357,6,FALSE)</f>
        <v>MS</v>
      </c>
      <c r="C287" s="4" t="s">
        <v>310</v>
      </c>
      <c r="D287" s="4" t="s">
        <v>271</v>
      </c>
      <c r="E287" s="4" t="str">
        <f>VLOOKUP(A287,'Reg Sheet'!A$2:G$357,7,FALSE)</f>
        <v>7th</v>
      </c>
      <c r="F287" s="5" t="s">
        <v>15</v>
      </c>
      <c r="G287" s="5" t="e">
        <f t="shared" ca="1" si="10"/>
        <v>#N/A</v>
      </c>
      <c r="H287" s="5" t="e">
        <f t="shared" ca="1" si="11"/>
        <v>#N/A</v>
      </c>
      <c r="I287" s="5">
        <v>261</v>
      </c>
      <c r="J287" s="5">
        <v>7</v>
      </c>
      <c r="K287" s="5" t="e">
        <f ca="1">VLOOKUP(A287,'Kealing Site'!$A$2:$E$338,5,FALSE)</f>
        <v>#N/A</v>
      </c>
      <c r="L287" s="5" t="e">
        <f ca="1">VLOOKUP(A287,'Kealing Site'!$A$2:$F$338,6,FALSE)</f>
        <v>#N/A</v>
      </c>
    </row>
    <row r="288" spans="1:12" hidden="1">
      <c r="A288" s="16">
        <v>80041</v>
      </c>
      <c r="B288" s="16" t="str">
        <f>VLOOKUP(A288,'Reg Sheet'!A$2:F$357,6,FALSE)</f>
        <v>MS</v>
      </c>
      <c r="C288" s="4" t="s">
        <v>311</v>
      </c>
      <c r="D288" s="4" t="s">
        <v>271</v>
      </c>
      <c r="E288" s="4" t="str">
        <f>VLOOKUP(A288,'Reg Sheet'!A$2:G$357,7,FALSE)</f>
        <v>7th</v>
      </c>
      <c r="F288" s="5" t="s">
        <v>15</v>
      </c>
      <c r="G288" s="5" t="e">
        <f t="shared" ca="1" si="10"/>
        <v>#N/A</v>
      </c>
      <c r="H288" s="5" t="e">
        <f t="shared" ca="1" si="11"/>
        <v>#N/A</v>
      </c>
      <c r="I288" s="5" t="e">
        <v>#N/A</v>
      </c>
      <c r="J288" s="5" t="e">
        <v>#N/A</v>
      </c>
      <c r="K288" s="5">
        <f ca="1">VLOOKUP(A288,'Kealing Site'!$A$2:$E$338,5,FALSE)</f>
        <v>261</v>
      </c>
      <c r="L288" s="5">
        <f ca="1">VLOOKUP(A288,'Kealing Site'!$A$2:$F$338,6,FALSE)</f>
        <v>8</v>
      </c>
    </row>
    <row r="289" spans="1:12" hidden="1">
      <c r="A289" s="16">
        <v>80042</v>
      </c>
      <c r="B289" s="16" t="str">
        <f>VLOOKUP(A289,'Reg Sheet'!A$2:F$357,6,FALSE)</f>
        <v>MS</v>
      </c>
      <c r="C289" s="4" t="s">
        <v>312</v>
      </c>
      <c r="D289" s="4" t="s">
        <v>271</v>
      </c>
      <c r="E289" s="4" t="str">
        <f>VLOOKUP(A289,'Reg Sheet'!A$2:G$357,7,FALSE)</f>
        <v>6th</v>
      </c>
      <c r="F289" s="5" t="s">
        <v>13</v>
      </c>
      <c r="G289" s="5">
        <f t="shared" ca="1" si="10"/>
        <v>501</v>
      </c>
      <c r="H289" s="5">
        <f t="shared" ca="1" si="11"/>
        <v>10</v>
      </c>
      <c r="I289" s="5">
        <v>257</v>
      </c>
      <c r="J289" s="5">
        <v>10</v>
      </c>
      <c r="K289" s="5">
        <f ca="1">VLOOKUP(A289,'Kealing Site'!$A$2:$E$338,5,FALSE)</f>
        <v>244</v>
      </c>
      <c r="L289" s="5">
        <f ca="1">VLOOKUP(A289,'Kealing Site'!$A$2:$F$338,6,FALSE)</f>
        <v>0</v>
      </c>
    </row>
    <row r="290" spans="1:12" hidden="1">
      <c r="A290" s="16">
        <v>80043</v>
      </c>
      <c r="B290" s="16" t="str">
        <f>VLOOKUP(A290,'Reg Sheet'!A$2:F$357,6,FALSE)</f>
        <v>MS</v>
      </c>
      <c r="C290" s="4" t="s">
        <v>313</v>
      </c>
      <c r="D290" s="4" t="s">
        <v>271</v>
      </c>
      <c r="E290" s="4" t="str">
        <f>VLOOKUP(A290,'Reg Sheet'!A$2:G$357,7,FALSE)</f>
        <v>7th</v>
      </c>
      <c r="F290" s="5" t="s">
        <v>13</v>
      </c>
      <c r="G290" s="5" t="e">
        <f t="shared" ca="1" si="10"/>
        <v>#N/A</v>
      </c>
      <c r="H290" s="5" t="e">
        <f t="shared" ca="1" si="11"/>
        <v>#N/A</v>
      </c>
      <c r="I290" s="5" t="e">
        <v>#N/A</v>
      </c>
      <c r="J290" s="5" t="e">
        <v>#N/A</v>
      </c>
      <c r="K290" s="5">
        <f ca="1">VLOOKUP(A290,'Kealing Site'!$A$2:$E$338,5,FALSE)</f>
        <v>248</v>
      </c>
      <c r="L290" s="5">
        <f ca="1">VLOOKUP(A290,'Kealing Site'!$A$2:$F$338,6,FALSE)</f>
        <v>4</v>
      </c>
    </row>
    <row r="291" spans="1:12" hidden="1">
      <c r="A291" s="16">
        <v>80044</v>
      </c>
      <c r="B291" s="16" t="str">
        <f>VLOOKUP(A291,'Reg Sheet'!A$2:F$357,6,FALSE)</f>
        <v>MS</v>
      </c>
      <c r="C291" s="4" t="s">
        <v>314</v>
      </c>
      <c r="D291" s="4" t="s">
        <v>271</v>
      </c>
      <c r="E291" s="4" t="str">
        <f>VLOOKUP(A291,'Reg Sheet'!A$2:G$357,7,FALSE)</f>
        <v>7th</v>
      </c>
      <c r="F291" s="5" t="s">
        <v>15</v>
      </c>
      <c r="G291" s="5">
        <f t="shared" ca="1" si="10"/>
        <v>424</v>
      </c>
      <c r="H291" s="5">
        <f t="shared" ca="1" si="11"/>
        <v>4</v>
      </c>
      <c r="I291" s="5">
        <v>186</v>
      </c>
      <c r="J291" s="5">
        <v>1</v>
      </c>
      <c r="K291" s="5">
        <f ca="1">VLOOKUP(A291,'Kealing Site'!$A$2:$E$338,5,FALSE)</f>
        <v>238</v>
      </c>
      <c r="L291" s="5">
        <f ca="1">VLOOKUP(A291,'Kealing Site'!$A$2:$F$338,6,FALSE)</f>
        <v>3</v>
      </c>
    </row>
    <row r="292" spans="1:12" hidden="1">
      <c r="A292" s="16">
        <v>80045</v>
      </c>
      <c r="B292" s="16" t="str">
        <f>VLOOKUP(A292,'Reg Sheet'!A$2:F$357,6,FALSE)</f>
        <v>MS</v>
      </c>
      <c r="C292" s="4" t="s">
        <v>315</v>
      </c>
      <c r="D292" s="4" t="s">
        <v>271</v>
      </c>
      <c r="E292" s="4" t="str">
        <f>VLOOKUP(A292,'Reg Sheet'!A$2:G$357,7,FALSE)</f>
        <v>7th</v>
      </c>
      <c r="F292" s="5" t="s">
        <v>15</v>
      </c>
      <c r="G292" s="5">
        <f t="shared" ca="1" si="10"/>
        <v>535</v>
      </c>
      <c r="H292" s="5">
        <f t="shared" ca="1" si="11"/>
        <v>17</v>
      </c>
      <c r="I292" s="5">
        <v>262</v>
      </c>
      <c r="J292" s="5">
        <v>7</v>
      </c>
      <c r="K292" s="5">
        <f ca="1">VLOOKUP(A292,'Kealing Site'!$A$2:$E$338,5,FALSE)</f>
        <v>273</v>
      </c>
      <c r="L292" s="5">
        <f ca="1">VLOOKUP(A292,'Kealing Site'!$A$2:$F$338,6,FALSE)</f>
        <v>10</v>
      </c>
    </row>
    <row r="293" spans="1:12" hidden="1">
      <c r="A293" s="16">
        <v>80046</v>
      </c>
      <c r="B293" s="16" t="str">
        <f>VLOOKUP(A293,'Reg Sheet'!A$2:F$357,6,FALSE)</f>
        <v>MS</v>
      </c>
      <c r="C293" s="4" t="s">
        <v>316</v>
      </c>
      <c r="D293" s="4" t="s">
        <v>271</v>
      </c>
      <c r="E293" s="4" t="str">
        <f>VLOOKUP(A293,'Reg Sheet'!A$2:G$357,7,FALSE)</f>
        <v>6th</v>
      </c>
      <c r="F293" s="5" t="s">
        <v>15</v>
      </c>
      <c r="G293" s="5">
        <f t="shared" ca="1" si="10"/>
        <v>394</v>
      </c>
      <c r="H293" s="5">
        <f t="shared" ca="1" si="11"/>
        <v>4</v>
      </c>
      <c r="I293" s="5">
        <v>190</v>
      </c>
      <c r="J293" s="5">
        <v>3</v>
      </c>
      <c r="K293" s="5">
        <f ca="1">VLOOKUP(A293,'Kealing Site'!$A$2:$E$338,5,FALSE)</f>
        <v>204</v>
      </c>
      <c r="L293" s="5">
        <f ca="1">VLOOKUP(A293,'Kealing Site'!$A$2:$F$338,6,FALSE)</f>
        <v>1</v>
      </c>
    </row>
    <row r="294" spans="1:12" hidden="1">
      <c r="A294" s="16">
        <v>80047</v>
      </c>
      <c r="B294" s="16" t="str">
        <f>VLOOKUP(A294,'Reg Sheet'!A$2:F$357,6,FALSE)</f>
        <v>MS</v>
      </c>
      <c r="C294" s="4" t="s">
        <v>317</v>
      </c>
      <c r="D294" s="4" t="s">
        <v>271</v>
      </c>
      <c r="E294" s="4" t="str">
        <f>VLOOKUP(A294,'Reg Sheet'!A$2:G$357,7,FALSE)</f>
        <v>7th</v>
      </c>
      <c r="F294" s="5" t="s">
        <v>13</v>
      </c>
      <c r="G294" s="5" t="e">
        <f t="shared" ca="1" si="10"/>
        <v>#N/A</v>
      </c>
      <c r="H294" s="5" t="e">
        <f t="shared" ca="1" si="11"/>
        <v>#N/A</v>
      </c>
      <c r="I294" s="5" t="e">
        <v>#N/A</v>
      </c>
      <c r="J294" s="5" t="e">
        <v>#N/A</v>
      </c>
      <c r="K294" s="5">
        <f ca="1">VLOOKUP(A294,'Kealing Site'!$A$2:$E$338,5,FALSE)</f>
        <v>247</v>
      </c>
      <c r="L294" s="5">
        <f ca="1">VLOOKUP(A294,'Kealing Site'!$A$2:$F$338,6,FALSE)</f>
        <v>6</v>
      </c>
    </row>
    <row r="295" spans="1:12" hidden="1">
      <c r="A295" s="16">
        <v>80048</v>
      </c>
      <c r="B295" s="16" t="str">
        <f>VLOOKUP(A295,'Reg Sheet'!A$2:F$357,6,FALSE)</f>
        <v>MS</v>
      </c>
      <c r="C295" s="4" t="s">
        <v>318</v>
      </c>
      <c r="D295" s="4" t="s">
        <v>271</v>
      </c>
      <c r="E295" s="4" t="str">
        <f>VLOOKUP(A295,'Reg Sheet'!A$2:G$357,7,FALSE)</f>
        <v>7th</v>
      </c>
      <c r="F295" s="5" t="s">
        <v>13</v>
      </c>
      <c r="G295" s="5" t="e">
        <f t="shared" ca="1" si="10"/>
        <v>#N/A</v>
      </c>
      <c r="H295" s="5" t="e">
        <f t="shared" ca="1" si="11"/>
        <v>#N/A</v>
      </c>
      <c r="I295" s="5">
        <v>240</v>
      </c>
      <c r="J295" s="5">
        <v>3</v>
      </c>
      <c r="K295" s="5" t="e">
        <f ca="1">VLOOKUP(A295,'Kealing Site'!$A$2:$E$338,5,FALSE)</f>
        <v>#N/A</v>
      </c>
      <c r="L295" s="5" t="e">
        <f ca="1">VLOOKUP(A295,'Kealing Site'!$A$2:$F$338,6,FALSE)</f>
        <v>#N/A</v>
      </c>
    </row>
    <row r="296" spans="1:12" hidden="1">
      <c r="A296" s="16">
        <v>80049</v>
      </c>
      <c r="B296" s="16" t="str">
        <f>VLOOKUP(A296,'Reg Sheet'!A$2:F$357,6,FALSE)</f>
        <v>MS</v>
      </c>
      <c r="C296" s="4" t="s">
        <v>319</v>
      </c>
      <c r="D296" s="4" t="s">
        <v>271</v>
      </c>
      <c r="E296" s="4" t="str">
        <f>VLOOKUP(A296,'Reg Sheet'!A$2:G$357,7,FALSE)</f>
        <v>6th</v>
      </c>
      <c r="F296" s="5" t="s">
        <v>13</v>
      </c>
      <c r="G296" s="5">
        <f t="shared" ca="1" si="10"/>
        <v>406</v>
      </c>
      <c r="H296" s="5">
        <f t="shared" ca="1" si="11"/>
        <v>5</v>
      </c>
      <c r="I296" s="5">
        <v>183</v>
      </c>
      <c r="J296" s="5">
        <v>2</v>
      </c>
      <c r="K296" s="5">
        <f ca="1">VLOOKUP(A296,'Kealing Site'!$A$2:$E$338,5,FALSE)</f>
        <v>223</v>
      </c>
      <c r="L296" s="5">
        <f ca="1">VLOOKUP(A296,'Kealing Site'!$A$2:$F$338,6,FALSE)</f>
        <v>3</v>
      </c>
    </row>
    <row r="297" spans="1:12" hidden="1">
      <c r="A297" s="16">
        <v>80050</v>
      </c>
      <c r="B297" s="16" t="str">
        <f>VLOOKUP(A297,'Reg Sheet'!A$2:F$357,6,FALSE)</f>
        <v>MS</v>
      </c>
      <c r="C297" s="4" t="s">
        <v>320</v>
      </c>
      <c r="D297" s="4" t="s">
        <v>271</v>
      </c>
      <c r="E297" s="4" t="str">
        <f>VLOOKUP(A297,'Reg Sheet'!A$2:G$357,7,FALSE)</f>
        <v>7th</v>
      </c>
      <c r="F297" s="5" t="s">
        <v>15</v>
      </c>
      <c r="G297" s="5">
        <f t="shared" ca="1" si="10"/>
        <v>548</v>
      </c>
      <c r="H297" s="5">
        <f t="shared" ca="1" si="11"/>
        <v>27</v>
      </c>
      <c r="I297" s="5">
        <v>270</v>
      </c>
      <c r="J297" s="5">
        <v>10</v>
      </c>
      <c r="K297" s="5">
        <f ca="1">VLOOKUP(A297,'Kealing Site'!$A$2:$E$338,5,FALSE)</f>
        <v>278</v>
      </c>
      <c r="L297" s="5">
        <f ca="1">VLOOKUP(A297,'Kealing Site'!$A$2:$F$338,6,FALSE)</f>
        <v>17</v>
      </c>
    </row>
    <row r="298" spans="1:12" hidden="1">
      <c r="A298" s="16">
        <v>80051</v>
      </c>
      <c r="B298" s="16" t="str">
        <f>VLOOKUP(A298,'Reg Sheet'!A$2:F$357,6,FALSE)</f>
        <v>MS</v>
      </c>
      <c r="C298" s="4" t="s">
        <v>321</v>
      </c>
      <c r="D298" s="4" t="s">
        <v>271</v>
      </c>
      <c r="E298" s="4" t="str">
        <f>VLOOKUP(A298,'Reg Sheet'!A$2:G$357,7,FALSE)</f>
        <v>7th</v>
      </c>
      <c r="F298" s="5" t="s">
        <v>13</v>
      </c>
      <c r="G298" s="5">
        <f t="shared" ca="1" si="10"/>
        <v>524</v>
      </c>
      <c r="H298" s="5">
        <f t="shared" ca="1" si="11"/>
        <v>15</v>
      </c>
      <c r="I298" s="5">
        <v>263</v>
      </c>
      <c r="J298" s="5">
        <v>7</v>
      </c>
      <c r="K298" s="5">
        <f ca="1">VLOOKUP(A298,'Kealing Site'!$A$2:$E$338,5,FALSE)</f>
        <v>261</v>
      </c>
      <c r="L298" s="5">
        <f ca="1">VLOOKUP(A298,'Kealing Site'!$A$2:$F$338,6,FALSE)</f>
        <v>8</v>
      </c>
    </row>
    <row r="299" spans="1:12" hidden="1">
      <c r="A299" s="16">
        <v>80052</v>
      </c>
      <c r="B299" s="16" t="str">
        <f>VLOOKUP(A299,'Reg Sheet'!A$2:F$357,6,FALSE)</f>
        <v>MS</v>
      </c>
      <c r="C299" s="4" t="s">
        <v>322</v>
      </c>
      <c r="D299" s="4" t="s">
        <v>271</v>
      </c>
      <c r="E299" s="4" t="str">
        <f>VLOOKUP(A299,'Reg Sheet'!A$2:G$357,7,FALSE)</f>
        <v>6th</v>
      </c>
      <c r="F299" s="5" t="s">
        <v>15</v>
      </c>
      <c r="G299" s="5">
        <f t="shared" ca="1" si="10"/>
        <v>436</v>
      </c>
      <c r="H299" s="5">
        <f t="shared" ca="1" si="11"/>
        <v>4</v>
      </c>
      <c r="I299" s="5">
        <v>232</v>
      </c>
      <c r="J299" s="5">
        <v>2</v>
      </c>
      <c r="K299" s="5">
        <f ca="1">VLOOKUP(A299,'Kealing Site'!$A$2:$E$338,5,FALSE)</f>
        <v>204</v>
      </c>
      <c r="L299" s="5">
        <f ca="1">VLOOKUP(A299,'Kealing Site'!$A$2:$F$338,6,FALSE)</f>
        <v>2</v>
      </c>
    </row>
    <row r="300" spans="1:12" hidden="1">
      <c r="A300" s="16">
        <v>80053</v>
      </c>
      <c r="B300" s="16" t="str">
        <f>VLOOKUP(A300,'Reg Sheet'!A$2:F$357,6,FALSE)</f>
        <v>MS</v>
      </c>
      <c r="C300" s="4" t="s">
        <v>323</v>
      </c>
      <c r="D300" s="4" t="s">
        <v>271</v>
      </c>
      <c r="E300" s="4" t="str">
        <f>VLOOKUP(A300,'Reg Sheet'!A$2:G$357,7,FALSE)</f>
        <v>8th</v>
      </c>
      <c r="F300" s="5" t="s">
        <v>13</v>
      </c>
      <c r="G300" s="5">
        <f t="shared" ca="1" si="10"/>
        <v>528</v>
      </c>
      <c r="H300" s="5">
        <f t="shared" ca="1" si="11"/>
        <v>22</v>
      </c>
      <c r="I300" s="5">
        <v>264</v>
      </c>
      <c r="J300" s="5">
        <v>10</v>
      </c>
      <c r="K300" s="5">
        <f ca="1">VLOOKUP(A300,'Kealing Site'!$A$2:$E$338,5,FALSE)</f>
        <v>264</v>
      </c>
      <c r="L300" s="5">
        <f ca="1">VLOOKUP(A300,'Kealing Site'!$A$2:$F$338,6,FALSE)</f>
        <v>12</v>
      </c>
    </row>
    <row r="301" spans="1:12" hidden="1">
      <c r="A301" s="16">
        <v>80054</v>
      </c>
      <c r="B301" s="16" t="str">
        <f>VLOOKUP(A301,'Reg Sheet'!A$2:F$357,6,FALSE)</f>
        <v>MS</v>
      </c>
      <c r="C301" s="4" t="s">
        <v>324</v>
      </c>
      <c r="D301" s="4" t="s">
        <v>271</v>
      </c>
      <c r="E301" s="4" t="str">
        <f>VLOOKUP(A301,'Reg Sheet'!A$2:G$357,7,FALSE)</f>
        <v>7th</v>
      </c>
      <c r="F301" s="5" t="s">
        <v>13</v>
      </c>
      <c r="G301" s="5">
        <f t="shared" ca="1" si="10"/>
        <v>440</v>
      </c>
      <c r="H301" s="5">
        <f t="shared" ca="1" si="11"/>
        <v>3</v>
      </c>
      <c r="I301" s="5">
        <v>211</v>
      </c>
      <c r="J301" s="5">
        <v>1</v>
      </c>
      <c r="K301" s="5">
        <f ca="1">VLOOKUP(A301,'Kealing Site'!$A$2:$E$338,5,FALSE)</f>
        <v>229</v>
      </c>
      <c r="L301" s="5">
        <f ca="1">VLOOKUP(A301,'Kealing Site'!$A$2:$F$338,6,FALSE)</f>
        <v>2</v>
      </c>
    </row>
    <row r="302" spans="1:12" hidden="1">
      <c r="A302" s="16">
        <v>80055</v>
      </c>
      <c r="B302" s="16" t="str">
        <f>VLOOKUP(A302,'Reg Sheet'!A$2:F$357,6,FALSE)</f>
        <v>MS</v>
      </c>
      <c r="C302" s="4" t="s">
        <v>325</v>
      </c>
      <c r="D302" s="4" t="s">
        <v>271</v>
      </c>
      <c r="E302" s="4" t="str">
        <f>VLOOKUP(A302,'Reg Sheet'!A$2:G$357,7,FALSE)</f>
        <v>7th</v>
      </c>
      <c r="F302" s="5" t="s">
        <v>13</v>
      </c>
      <c r="G302" s="5">
        <f t="shared" ca="1" si="10"/>
        <v>496</v>
      </c>
      <c r="H302" s="5">
        <f t="shared" ca="1" si="11"/>
        <v>10</v>
      </c>
      <c r="I302" s="5">
        <v>260</v>
      </c>
      <c r="J302" s="5">
        <v>4</v>
      </c>
      <c r="K302" s="5">
        <f ca="1">VLOOKUP(A302,'Kealing Site'!$A$2:$E$338,5,FALSE)</f>
        <v>236</v>
      </c>
      <c r="L302" s="5">
        <f ca="1">VLOOKUP(A302,'Kealing Site'!$A$2:$F$338,6,FALSE)</f>
        <v>6</v>
      </c>
    </row>
    <row r="303" spans="1:12" hidden="1">
      <c r="A303" s="16">
        <v>80056</v>
      </c>
      <c r="B303" s="16" t="str">
        <f>VLOOKUP(A303,'Reg Sheet'!A$2:F$357,6,FALSE)</f>
        <v>MS</v>
      </c>
      <c r="C303" s="4" t="s">
        <v>326</v>
      </c>
      <c r="D303" s="4" t="s">
        <v>271</v>
      </c>
      <c r="E303" s="4" t="str">
        <f>VLOOKUP(A303,'Reg Sheet'!A$2:G$357,7,FALSE)</f>
        <v>6th</v>
      </c>
      <c r="F303" s="5" t="s">
        <v>15</v>
      </c>
      <c r="G303" s="5">
        <f t="shared" ca="1" si="10"/>
        <v>362</v>
      </c>
      <c r="H303" s="5">
        <f t="shared" ca="1" si="11"/>
        <v>2</v>
      </c>
      <c r="I303" s="5">
        <v>195</v>
      </c>
      <c r="J303" s="5">
        <v>2</v>
      </c>
      <c r="K303" s="5">
        <f ca="1">VLOOKUP(A303,'Kealing Site'!$A$2:$E$338,5,FALSE)</f>
        <v>167</v>
      </c>
      <c r="L303" s="5">
        <f ca="1">VLOOKUP(A303,'Kealing Site'!$A$2:$F$338,6,FALSE)</f>
        <v>0</v>
      </c>
    </row>
    <row r="304" spans="1:12" hidden="1">
      <c r="A304" s="16">
        <v>80057</v>
      </c>
      <c r="B304" s="16" t="str">
        <f>VLOOKUP(A304,'Reg Sheet'!A$2:F$357,6,FALSE)</f>
        <v>MS</v>
      </c>
      <c r="C304" s="4" t="s">
        <v>327</v>
      </c>
      <c r="D304" s="4" t="s">
        <v>271</v>
      </c>
      <c r="E304" s="4" t="str">
        <f>VLOOKUP(A304,'Reg Sheet'!A$2:G$357,7,FALSE)</f>
        <v>6th</v>
      </c>
      <c r="F304" s="5" t="s">
        <v>15</v>
      </c>
      <c r="G304" s="5">
        <f t="shared" ca="1" si="10"/>
        <v>440</v>
      </c>
      <c r="H304" s="5">
        <f t="shared" ca="1" si="11"/>
        <v>6</v>
      </c>
      <c r="I304" s="5">
        <v>202</v>
      </c>
      <c r="J304" s="5">
        <v>2</v>
      </c>
      <c r="K304" s="5">
        <f ca="1">VLOOKUP(A304,'Kealing Site'!$A$2:$E$338,5,FALSE)</f>
        <v>238</v>
      </c>
      <c r="L304" s="5">
        <f ca="1">VLOOKUP(A304,'Kealing Site'!$A$2:$F$338,6,FALSE)</f>
        <v>4</v>
      </c>
    </row>
    <row r="305" spans="1:12" hidden="1">
      <c r="A305" s="16">
        <v>80058</v>
      </c>
      <c r="B305" s="16" t="str">
        <f>VLOOKUP(A305,'Reg Sheet'!A$2:F$357,6,FALSE)</f>
        <v>MS</v>
      </c>
      <c r="C305" s="4" t="s">
        <v>328</v>
      </c>
      <c r="D305" s="4" t="s">
        <v>271</v>
      </c>
      <c r="E305" s="4" t="str">
        <f>VLOOKUP(A305,'Reg Sheet'!A$2:G$357,7,FALSE)</f>
        <v>6th</v>
      </c>
      <c r="F305" s="5" t="s">
        <v>15</v>
      </c>
      <c r="G305" s="5">
        <f t="shared" ca="1" si="10"/>
        <v>522</v>
      </c>
      <c r="H305" s="5">
        <f t="shared" ca="1" si="11"/>
        <v>20</v>
      </c>
      <c r="I305" s="5">
        <v>259</v>
      </c>
      <c r="J305" s="5">
        <v>10</v>
      </c>
      <c r="K305" s="5">
        <f ca="1">VLOOKUP(A305,'Kealing Site'!$A$2:$E$338,5,FALSE)</f>
        <v>263</v>
      </c>
      <c r="L305" s="5">
        <f ca="1">VLOOKUP(A305,'Kealing Site'!$A$2:$F$338,6,FALSE)</f>
        <v>10</v>
      </c>
    </row>
    <row r="306" spans="1:12" hidden="1">
      <c r="A306" s="16">
        <v>80059</v>
      </c>
      <c r="B306" s="16" t="str">
        <f>VLOOKUP(A306,'Reg Sheet'!A$2:F$357,6,FALSE)</f>
        <v>MS</v>
      </c>
      <c r="C306" s="4" t="s">
        <v>329</v>
      </c>
      <c r="D306" s="4" t="s">
        <v>271</v>
      </c>
      <c r="E306" s="4" t="str">
        <f>VLOOKUP(A306,'Reg Sheet'!A$2:G$357,7,FALSE)</f>
        <v>7th</v>
      </c>
      <c r="F306" s="5" t="s">
        <v>13</v>
      </c>
      <c r="G306" s="5">
        <f t="shared" ca="1" si="10"/>
        <v>467</v>
      </c>
      <c r="H306" s="5">
        <f t="shared" ca="1" si="11"/>
        <v>9</v>
      </c>
      <c r="I306" s="5">
        <v>230</v>
      </c>
      <c r="J306" s="5">
        <v>4</v>
      </c>
      <c r="K306" s="5">
        <f ca="1">VLOOKUP(A306,'Kealing Site'!$A$2:$E$338,5,FALSE)</f>
        <v>237</v>
      </c>
      <c r="L306" s="5">
        <f ca="1">VLOOKUP(A306,'Kealing Site'!$A$2:$F$338,6,FALSE)</f>
        <v>5</v>
      </c>
    </row>
    <row r="307" spans="1:12" hidden="1">
      <c r="A307" s="16">
        <v>80060</v>
      </c>
      <c r="B307" s="16" t="str">
        <f>VLOOKUP(A307,'Reg Sheet'!A$2:F$357,6,FALSE)</f>
        <v>MS</v>
      </c>
      <c r="C307" s="4" t="s">
        <v>330</v>
      </c>
      <c r="D307" s="4" t="s">
        <v>271</v>
      </c>
      <c r="E307" s="4" t="str">
        <f>VLOOKUP(A307,'Reg Sheet'!A$2:G$357,7,FALSE)</f>
        <v>7th</v>
      </c>
      <c r="F307" s="5" t="s">
        <v>13</v>
      </c>
      <c r="G307" s="5">
        <f t="shared" ca="1" si="10"/>
        <v>486</v>
      </c>
      <c r="H307" s="5">
        <f t="shared" ca="1" si="11"/>
        <v>15</v>
      </c>
      <c r="I307" s="5">
        <v>233</v>
      </c>
      <c r="J307" s="5">
        <v>7</v>
      </c>
      <c r="K307" s="5">
        <f ca="1">VLOOKUP(A307,'Kealing Site'!$A$2:$E$338,5,FALSE)</f>
        <v>253</v>
      </c>
      <c r="L307" s="5">
        <f ca="1">VLOOKUP(A307,'Kealing Site'!$A$2:$F$338,6,FALSE)</f>
        <v>8</v>
      </c>
    </row>
    <row r="308" spans="1:12" hidden="1">
      <c r="A308" s="16">
        <v>80061</v>
      </c>
      <c r="B308" s="16" t="str">
        <f>VLOOKUP(A308,'Reg Sheet'!A$2:F$357,6,FALSE)</f>
        <v>MS</v>
      </c>
      <c r="C308" s="4" t="s">
        <v>331</v>
      </c>
      <c r="D308" s="4" t="s">
        <v>271</v>
      </c>
      <c r="E308" s="4" t="str">
        <f>VLOOKUP(A308,'Reg Sheet'!A$2:G$357,7,FALSE)</f>
        <v>7th</v>
      </c>
      <c r="F308" s="5" t="s">
        <v>15</v>
      </c>
      <c r="G308" s="5">
        <f t="shared" ca="1" si="10"/>
        <v>356</v>
      </c>
      <c r="H308" s="5">
        <f t="shared" ca="1" si="11"/>
        <v>1</v>
      </c>
      <c r="I308" s="5">
        <v>177</v>
      </c>
      <c r="J308" s="5">
        <v>1</v>
      </c>
      <c r="K308" s="5">
        <f ca="1">VLOOKUP(A308,'Kealing Site'!$A$2:$E$338,5,FALSE)</f>
        <v>179</v>
      </c>
      <c r="L308" s="5">
        <f ca="1">VLOOKUP(A308,'Kealing Site'!$A$2:$F$338,6,FALSE)</f>
        <v>0</v>
      </c>
    </row>
    <row r="309" spans="1:12" hidden="1">
      <c r="A309" s="16">
        <v>80062</v>
      </c>
      <c r="B309" s="16" t="str">
        <f>VLOOKUP(A309,'Reg Sheet'!A$2:F$357,6,FALSE)</f>
        <v>MS</v>
      </c>
      <c r="C309" s="4" t="s">
        <v>332</v>
      </c>
      <c r="D309" s="4" t="s">
        <v>271</v>
      </c>
      <c r="E309" s="4" t="str">
        <f>VLOOKUP(A309,'Reg Sheet'!A$2:G$357,7,FALSE)</f>
        <v>6th</v>
      </c>
      <c r="F309" s="5" t="s">
        <v>15</v>
      </c>
      <c r="G309" s="5" t="e">
        <f t="shared" ca="1" si="10"/>
        <v>#N/A</v>
      </c>
      <c r="H309" s="5" t="e">
        <f t="shared" ca="1" si="11"/>
        <v>#N/A</v>
      </c>
      <c r="I309" s="5" t="e">
        <v>#N/A</v>
      </c>
      <c r="J309" s="5" t="e">
        <v>#N/A</v>
      </c>
      <c r="K309" s="5">
        <f ca="1">VLOOKUP(A309,'Kealing Site'!$A$2:$E$338,5,FALSE)</f>
        <v>184</v>
      </c>
      <c r="L309" s="5">
        <f ca="1">VLOOKUP(A309,'Kealing Site'!$A$2:$F$338,6,FALSE)</f>
        <v>2</v>
      </c>
    </row>
    <row r="310" spans="1:12" hidden="1">
      <c r="A310" s="16">
        <v>80063</v>
      </c>
      <c r="B310" s="16" t="str">
        <f>VLOOKUP(A310,'Reg Sheet'!A$2:F$357,6,FALSE)</f>
        <v>MS</v>
      </c>
      <c r="C310" s="4" t="s">
        <v>333</v>
      </c>
      <c r="D310" s="4" t="s">
        <v>271</v>
      </c>
      <c r="E310" s="4" t="str">
        <f>VLOOKUP(A310,'Reg Sheet'!A$2:G$357,7,FALSE)</f>
        <v>6th</v>
      </c>
      <c r="F310" s="5" t="s">
        <v>15</v>
      </c>
      <c r="G310" s="5">
        <f t="shared" ca="1" si="10"/>
        <v>487</v>
      </c>
      <c r="H310" s="5">
        <f t="shared" ca="1" si="11"/>
        <v>12</v>
      </c>
      <c r="I310" s="5">
        <v>231</v>
      </c>
      <c r="J310" s="5">
        <v>3</v>
      </c>
      <c r="K310" s="5">
        <f ca="1">VLOOKUP(A310,'Kealing Site'!$A$2:$E$338,5,FALSE)</f>
        <v>256</v>
      </c>
      <c r="L310" s="5">
        <f ca="1">VLOOKUP(A310,'Kealing Site'!$A$2:$F$338,6,FALSE)</f>
        <v>9</v>
      </c>
    </row>
    <row r="311" spans="1:12" hidden="1">
      <c r="A311" s="16">
        <v>80064</v>
      </c>
      <c r="B311" s="16" t="str">
        <f>VLOOKUP(A311,'Reg Sheet'!A$2:F$357,6,FALSE)</f>
        <v>MS</v>
      </c>
      <c r="C311" s="4" t="s">
        <v>334</v>
      </c>
      <c r="D311" s="4" t="s">
        <v>271</v>
      </c>
      <c r="E311" s="4" t="str">
        <f>VLOOKUP(A311,'Reg Sheet'!A$2:G$357,7,FALSE)</f>
        <v>6th</v>
      </c>
      <c r="F311" s="5" t="s">
        <v>13</v>
      </c>
      <c r="G311" s="5">
        <f t="shared" ca="1" si="10"/>
        <v>469</v>
      </c>
      <c r="H311" s="5">
        <f t="shared" ca="1" si="11"/>
        <v>9</v>
      </c>
      <c r="I311" s="5">
        <v>219</v>
      </c>
      <c r="J311" s="5">
        <v>4</v>
      </c>
      <c r="K311" s="5">
        <f ca="1">VLOOKUP(A311,'Kealing Site'!$A$2:$E$338,5,FALSE)</f>
        <v>250</v>
      </c>
      <c r="L311" s="5">
        <f ca="1">VLOOKUP(A311,'Kealing Site'!$A$2:$F$338,6,FALSE)</f>
        <v>5</v>
      </c>
    </row>
    <row r="312" spans="1:12" hidden="1">
      <c r="A312" s="16">
        <v>80065</v>
      </c>
      <c r="B312" s="16" t="str">
        <f>VLOOKUP(A312,'Reg Sheet'!A$2:F$357,6,FALSE)</f>
        <v>MS</v>
      </c>
      <c r="C312" s="4" t="s">
        <v>335</v>
      </c>
      <c r="D312" s="4" t="s">
        <v>271</v>
      </c>
      <c r="E312" s="4" t="str">
        <f>VLOOKUP(A312,'Reg Sheet'!A$2:G$357,7,FALSE)</f>
        <v>8th</v>
      </c>
      <c r="F312" s="5" t="s">
        <v>13</v>
      </c>
      <c r="G312" s="5" t="e">
        <f t="shared" ca="1" si="10"/>
        <v>#N/A</v>
      </c>
      <c r="H312" s="5" t="e">
        <f t="shared" ca="1" si="11"/>
        <v>#N/A</v>
      </c>
      <c r="I312" s="5" t="e">
        <v>#N/A</v>
      </c>
      <c r="J312" s="5" t="e">
        <v>#N/A</v>
      </c>
      <c r="K312" s="5" t="str">
        <f ca="1">VLOOKUP(A312,'Kealing Site'!$A$2:$E$338,5,FALSE)</f>
        <v>Posting</v>
      </c>
      <c r="L312" s="5" t="str">
        <f ca="1">VLOOKUP(A312,'Kealing Site'!$A$2:$F$338,6,FALSE)</f>
        <v>Posting</v>
      </c>
    </row>
    <row r="313" spans="1:12" hidden="1">
      <c r="A313" s="16">
        <v>80066</v>
      </c>
      <c r="B313" s="16" t="str">
        <f>VLOOKUP(A313,'Reg Sheet'!A$2:F$357,6,FALSE)</f>
        <v>MS</v>
      </c>
      <c r="C313" s="4" t="s">
        <v>336</v>
      </c>
      <c r="D313" s="4" t="s">
        <v>271</v>
      </c>
      <c r="E313" s="4" t="str">
        <f>VLOOKUP(A313,'Reg Sheet'!A$2:G$357,7,FALSE)</f>
        <v>6th</v>
      </c>
      <c r="F313" s="5" t="s">
        <v>13</v>
      </c>
      <c r="G313" s="5">
        <f t="shared" ca="1" si="10"/>
        <v>483</v>
      </c>
      <c r="H313" s="5">
        <f t="shared" ca="1" si="11"/>
        <v>10</v>
      </c>
      <c r="I313" s="5">
        <v>232</v>
      </c>
      <c r="J313" s="5">
        <v>3</v>
      </c>
      <c r="K313" s="5">
        <f ca="1">VLOOKUP(A313,'Kealing Site'!$A$2:$E$338,5,FALSE)</f>
        <v>251</v>
      </c>
      <c r="L313" s="5">
        <f ca="1">VLOOKUP(A313,'Kealing Site'!$A$2:$F$338,6,FALSE)</f>
        <v>7</v>
      </c>
    </row>
    <row r="314" spans="1:12" hidden="1">
      <c r="A314" s="16">
        <v>80067</v>
      </c>
      <c r="B314" s="16" t="str">
        <f>VLOOKUP(A314,'Reg Sheet'!A$2:F$357,6,FALSE)</f>
        <v>MS</v>
      </c>
      <c r="C314" s="4" t="s">
        <v>337</v>
      </c>
      <c r="D314" s="4" t="s">
        <v>271</v>
      </c>
      <c r="E314" s="4" t="str">
        <f>VLOOKUP(A314,'Reg Sheet'!A$2:G$357,7,FALSE)</f>
        <v>7th</v>
      </c>
      <c r="F314" s="5" t="s">
        <v>13</v>
      </c>
      <c r="G314" s="5" t="e">
        <f t="shared" ca="1" si="10"/>
        <v>#N/A</v>
      </c>
      <c r="H314" s="5" t="e">
        <f t="shared" ca="1" si="11"/>
        <v>#N/A</v>
      </c>
      <c r="I314" s="5" t="e">
        <v>#N/A</v>
      </c>
      <c r="J314" s="5" t="e">
        <v>#N/A</v>
      </c>
      <c r="K314" s="5">
        <f ca="1">VLOOKUP(A314,'Kealing Site'!$A$2:$E$338,5,FALSE)</f>
        <v>240</v>
      </c>
      <c r="L314" s="5">
        <f ca="1">VLOOKUP(A314,'Kealing Site'!$A$2:$F$338,6,FALSE)</f>
        <v>6</v>
      </c>
    </row>
    <row r="315" spans="1:12" hidden="1">
      <c r="A315" s="16">
        <v>90001</v>
      </c>
      <c r="B315" s="16" t="str">
        <f>VLOOKUP(A315,'Reg Sheet'!A$2:F$357,6,FALSE)</f>
        <v>MS</v>
      </c>
      <c r="C315" s="4" t="s">
        <v>338</v>
      </c>
      <c r="D315" s="4" t="s">
        <v>339</v>
      </c>
      <c r="E315" s="4" t="str">
        <f>VLOOKUP(A315,'Reg Sheet'!A$2:G$357,7,FALSE)</f>
        <v>6th</v>
      </c>
      <c r="F315" s="5" t="s">
        <v>15</v>
      </c>
      <c r="G315" s="5" t="e">
        <f t="shared" ca="1" si="10"/>
        <v>#N/A</v>
      </c>
      <c r="H315" s="5" t="e">
        <f t="shared" ca="1" si="11"/>
        <v>#N/A</v>
      </c>
      <c r="I315" s="5" t="e">
        <v>#N/A</v>
      </c>
      <c r="J315" s="5" t="e">
        <v>#N/A</v>
      </c>
      <c r="K315" s="5" t="e">
        <f ca="1">VLOOKUP(A315,'Kealing Site'!$A$2:$E$338,5,FALSE)</f>
        <v>#N/A</v>
      </c>
      <c r="L315" s="5" t="e">
        <f ca="1">VLOOKUP(A315,'Kealing Site'!$A$2:$F$338,6,FALSE)</f>
        <v>#N/A</v>
      </c>
    </row>
    <row r="316" spans="1:12" hidden="1">
      <c r="A316" s="16">
        <v>90002</v>
      </c>
      <c r="B316" s="16" t="str">
        <f>VLOOKUP(A316,'Reg Sheet'!A$2:F$357,6,FALSE)</f>
        <v>MS</v>
      </c>
      <c r="C316" s="4" t="s">
        <v>340</v>
      </c>
      <c r="D316" s="4" t="s">
        <v>339</v>
      </c>
      <c r="E316" s="4" t="str">
        <f>VLOOKUP(A316,'Reg Sheet'!A$2:G$357,7,FALSE)</f>
        <v>7th</v>
      </c>
      <c r="F316" s="5" t="s">
        <v>15</v>
      </c>
      <c r="G316" s="5">
        <f t="shared" ca="1" si="10"/>
        <v>549</v>
      </c>
      <c r="H316" s="5">
        <f t="shared" ca="1" si="11"/>
        <v>19</v>
      </c>
      <c r="I316" s="5">
        <v>275</v>
      </c>
      <c r="J316" s="5">
        <v>9</v>
      </c>
      <c r="K316" s="5">
        <f ca="1">VLOOKUP(A316,'Kealing Site'!$A$2:$E$338,5,FALSE)</f>
        <v>274</v>
      </c>
      <c r="L316" s="5">
        <f ca="1">VLOOKUP(A316,'Kealing Site'!$A$2:$F$338,6,FALSE)</f>
        <v>10</v>
      </c>
    </row>
    <row r="317" spans="1:12" hidden="1">
      <c r="A317" s="16">
        <v>90003</v>
      </c>
      <c r="B317" s="16" t="str">
        <f>VLOOKUP(A317,'Reg Sheet'!A$2:F$357,6,FALSE)</f>
        <v>MS</v>
      </c>
      <c r="C317" s="4" t="s">
        <v>341</v>
      </c>
      <c r="D317" s="4" t="s">
        <v>339</v>
      </c>
      <c r="E317" s="4" t="str">
        <f>VLOOKUP(A317,'Reg Sheet'!A$2:G$357,7,FALSE)</f>
        <v>7th</v>
      </c>
      <c r="F317" s="5" t="s">
        <v>13</v>
      </c>
      <c r="G317" s="5">
        <f t="shared" ca="1" si="10"/>
        <v>520</v>
      </c>
      <c r="H317" s="5">
        <f t="shared" ca="1" si="11"/>
        <v>16</v>
      </c>
      <c r="I317" s="5">
        <v>263</v>
      </c>
      <c r="J317" s="5">
        <v>8</v>
      </c>
      <c r="K317" s="5">
        <f ca="1">VLOOKUP(A317,'Kealing Site'!$A$2:$E$338,5,FALSE)</f>
        <v>257</v>
      </c>
      <c r="L317" s="5">
        <f ca="1">VLOOKUP(A317,'Kealing Site'!$A$2:$F$338,6,FALSE)</f>
        <v>8</v>
      </c>
    </row>
    <row r="318" spans="1:12" hidden="1">
      <c r="A318" s="16">
        <v>90004</v>
      </c>
      <c r="B318" s="16" t="str">
        <f>VLOOKUP(A318,'Reg Sheet'!A$2:F$357,6,FALSE)</f>
        <v>MS</v>
      </c>
      <c r="C318" s="4" t="s">
        <v>342</v>
      </c>
      <c r="D318" s="4" t="s">
        <v>339</v>
      </c>
      <c r="E318" s="4" t="str">
        <f>VLOOKUP(A318,'Reg Sheet'!A$2:G$357,7,FALSE)</f>
        <v>7th</v>
      </c>
      <c r="F318" s="5" t="s">
        <v>15</v>
      </c>
      <c r="G318" s="5">
        <f t="shared" ca="1" si="10"/>
        <v>506</v>
      </c>
      <c r="H318" s="5">
        <f t="shared" ca="1" si="11"/>
        <v>11</v>
      </c>
      <c r="I318" s="5">
        <v>247</v>
      </c>
      <c r="J318" s="5">
        <v>4</v>
      </c>
      <c r="K318" s="5">
        <f ca="1">VLOOKUP(A318,'Kealing Site'!$A$2:$E$338,5,FALSE)</f>
        <v>259</v>
      </c>
      <c r="L318" s="5">
        <f ca="1">VLOOKUP(A318,'Kealing Site'!$A$2:$F$338,6,FALSE)</f>
        <v>7</v>
      </c>
    </row>
    <row r="319" spans="1:12" hidden="1">
      <c r="A319" s="16">
        <v>90005</v>
      </c>
      <c r="B319" s="16" t="str">
        <f>VLOOKUP(A319,'Reg Sheet'!A$2:F$357,6,FALSE)</f>
        <v>MS</v>
      </c>
      <c r="C319" s="4" t="s">
        <v>343</v>
      </c>
      <c r="D319" s="4" t="s">
        <v>339</v>
      </c>
      <c r="E319" s="4" t="str">
        <f>VLOOKUP(A319,'Reg Sheet'!A$2:G$357,7,FALSE)</f>
        <v>8th</v>
      </c>
      <c r="F319" s="5" t="s">
        <v>15</v>
      </c>
      <c r="G319" s="5">
        <f t="shared" ca="1" si="10"/>
        <v>522</v>
      </c>
      <c r="H319" s="5">
        <f t="shared" ca="1" si="11"/>
        <v>17</v>
      </c>
      <c r="I319" s="5">
        <v>262</v>
      </c>
      <c r="J319" s="5">
        <v>11</v>
      </c>
      <c r="K319" s="5">
        <f ca="1">VLOOKUP(A319,'Kealing Site'!$A$2:$E$338,5,FALSE)</f>
        <v>260</v>
      </c>
      <c r="L319" s="5">
        <f ca="1">VLOOKUP(A319,'Kealing Site'!$A$2:$F$338,6,FALSE)</f>
        <v>6</v>
      </c>
    </row>
    <row r="320" spans="1:12" hidden="1">
      <c r="A320" s="16">
        <v>90006</v>
      </c>
      <c r="B320" s="16" t="str">
        <f>VLOOKUP(A320,'Reg Sheet'!A$2:F$357,6,FALSE)</f>
        <v>MS</v>
      </c>
      <c r="C320" s="4" t="s">
        <v>344</v>
      </c>
      <c r="D320" s="4" t="s">
        <v>339</v>
      </c>
      <c r="E320" s="4" t="str">
        <f>VLOOKUP(A320,'Reg Sheet'!A$2:G$357,7,FALSE)</f>
        <v>7th</v>
      </c>
      <c r="F320" s="5" t="s">
        <v>15</v>
      </c>
      <c r="G320" s="5">
        <f t="shared" ca="1" si="10"/>
        <v>514</v>
      </c>
      <c r="H320" s="5">
        <f t="shared" ca="1" si="11"/>
        <v>12</v>
      </c>
      <c r="I320" s="5">
        <v>252</v>
      </c>
      <c r="J320" s="5">
        <v>5</v>
      </c>
      <c r="K320" s="5">
        <f ca="1">VLOOKUP(A320,'Kealing Site'!$A$2:$E$338,5,FALSE)</f>
        <v>262</v>
      </c>
      <c r="L320" s="5">
        <f ca="1">VLOOKUP(A320,'Kealing Site'!$A$2:$F$338,6,FALSE)</f>
        <v>7</v>
      </c>
    </row>
    <row r="321" spans="1:12" hidden="1">
      <c r="A321" s="16">
        <v>90007</v>
      </c>
      <c r="B321" s="16" t="str">
        <f>VLOOKUP(A321,'Reg Sheet'!A$2:F$357,6,FALSE)</f>
        <v>MS</v>
      </c>
      <c r="C321" s="4" t="s">
        <v>345</v>
      </c>
      <c r="D321" s="4" t="s">
        <v>339</v>
      </c>
      <c r="E321" s="4" t="str">
        <f>VLOOKUP(A321,'Reg Sheet'!A$2:G$357,7,FALSE)</f>
        <v>7th</v>
      </c>
      <c r="F321" s="5" t="s">
        <v>15</v>
      </c>
      <c r="G321" s="5">
        <f t="shared" ca="1" si="10"/>
        <v>552</v>
      </c>
      <c r="H321" s="5">
        <f t="shared" ca="1" si="11"/>
        <v>25</v>
      </c>
      <c r="I321" s="5">
        <v>276</v>
      </c>
      <c r="J321" s="5">
        <v>13</v>
      </c>
      <c r="K321" s="5">
        <f ca="1">VLOOKUP(A321,'Kealing Site'!$A$2:$E$338,5,FALSE)</f>
        <v>276</v>
      </c>
      <c r="L321" s="5">
        <f ca="1">VLOOKUP(A321,'Kealing Site'!$A$2:$F$338,6,FALSE)</f>
        <v>12</v>
      </c>
    </row>
    <row r="322" spans="1:12" hidden="1">
      <c r="A322" s="16">
        <v>90008</v>
      </c>
      <c r="B322" s="16" t="str">
        <f>VLOOKUP(A322,'Reg Sheet'!A$2:F$357,6,FALSE)</f>
        <v>MS</v>
      </c>
      <c r="C322" s="4" t="s">
        <v>346</v>
      </c>
      <c r="D322" s="4" t="s">
        <v>339</v>
      </c>
      <c r="E322" s="4" t="str">
        <f>VLOOKUP(A322,'Reg Sheet'!A$2:G$357,7,FALSE)</f>
        <v>8th</v>
      </c>
      <c r="F322" s="5" t="s">
        <v>13</v>
      </c>
      <c r="G322" s="5">
        <f t="shared" ref="G322:G358" ca="1" si="12">I322+K322</f>
        <v>540</v>
      </c>
      <c r="H322" s="5">
        <f t="shared" ref="H322:H358" ca="1" si="13">J322+L322</f>
        <v>22</v>
      </c>
      <c r="I322" s="5">
        <v>266</v>
      </c>
      <c r="J322" s="5">
        <v>10</v>
      </c>
      <c r="K322" s="5">
        <f ca="1">VLOOKUP(A322,'Kealing Site'!$A$2:$E$338,5,FALSE)</f>
        <v>274</v>
      </c>
      <c r="L322" s="5">
        <f ca="1">VLOOKUP(A322,'Kealing Site'!$A$2:$F$338,6,FALSE)</f>
        <v>12</v>
      </c>
    </row>
    <row r="323" spans="1:12" hidden="1">
      <c r="A323" s="16">
        <v>90009</v>
      </c>
      <c r="B323" s="16" t="str">
        <f>VLOOKUP(A323,'Reg Sheet'!A$2:F$357,6,FALSE)</f>
        <v>MS</v>
      </c>
      <c r="C323" s="4" t="s">
        <v>347</v>
      </c>
      <c r="D323" s="4" t="s">
        <v>339</v>
      </c>
      <c r="E323" s="4" t="str">
        <f>VLOOKUP(A323,'Reg Sheet'!A$2:G$357,7,FALSE)</f>
        <v>7th</v>
      </c>
      <c r="F323" s="5" t="s">
        <v>13</v>
      </c>
      <c r="G323" s="5" t="e">
        <f t="shared" ca="1" si="12"/>
        <v>#N/A</v>
      </c>
      <c r="H323" s="5" t="e">
        <f t="shared" ca="1" si="13"/>
        <v>#N/A</v>
      </c>
      <c r="I323" s="5" t="e">
        <v>#N/A</v>
      </c>
      <c r="J323" s="5" t="e">
        <v>#N/A</v>
      </c>
      <c r="K323" s="5" t="str">
        <f ca="1">VLOOKUP(A323,'Kealing Site'!$A$2:$E$338,5,FALSE)</f>
        <v>Posting</v>
      </c>
      <c r="L323" s="5" t="str">
        <f ca="1">VLOOKUP(A323,'Kealing Site'!$A$2:$F$338,6,FALSE)</f>
        <v>Posting</v>
      </c>
    </row>
    <row r="324" spans="1:12" hidden="1">
      <c r="A324" s="16">
        <v>90010</v>
      </c>
      <c r="B324" s="16" t="str">
        <f>VLOOKUP(A324,'Reg Sheet'!A$2:F$357,6,FALSE)</f>
        <v>MS</v>
      </c>
      <c r="C324" s="4" t="s">
        <v>348</v>
      </c>
      <c r="D324" s="4" t="s">
        <v>339</v>
      </c>
      <c r="E324" s="4" t="str">
        <f>VLOOKUP(A324,'Reg Sheet'!A$2:G$357,7,FALSE)</f>
        <v>8th</v>
      </c>
      <c r="F324" s="5" t="s">
        <v>13</v>
      </c>
      <c r="G324" s="5" t="e">
        <f t="shared" ca="1" si="12"/>
        <v>#N/A</v>
      </c>
      <c r="H324" s="5" t="e">
        <f t="shared" ca="1" si="13"/>
        <v>#N/A</v>
      </c>
      <c r="I324" s="5" t="e">
        <v>#N/A</v>
      </c>
      <c r="J324" s="5" t="e">
        <v>#N/A</v>
      </c>
      <c r="K324" s="5" t="e">
        <f ca="1">VLOOKUP(A324,'Kealing Site'!$A$2:$E$338,5,FALSE)</f>
        <v>#N/A</v>
      </c>
      <c r="L324" s="5" t="e">
        <f ca="1">VLOOKUP(A324,'Kealing Site'!$A$2:$F$338,6,FALSE)</f>
        <v>#N/A</v>
      </c>
    </row>
    <row r="325" spans="1:12" hidden="1">
      <c r="A325" s="16">
        <v>90011</v>
      </c>
      <c r="B325" s="16" t="str">
        <f>VLOOKUP(A325,'Reg Sheet'!A$2:F$357,6,FALSE)</f>
        <v>MS</v>
      </c>
      <c r="C325" s="4" t="s">
        <v>349</v>
      </c>
      <c r="D325" s="4" t="s">
        <v>339</v>
      </c>
      <c r="E325" s="4" t="str">
        <f>VLOOKUP(A325,'Reg Sheet'!A$2:G$357,7,FALSE)</f>
        <v>8th</v>
      </c>
      <c r="F325" s="5" t="s">
        <v>15</v>
      </c>
      <c r="G325" s="5" t="e">
        <f t="shared" ca="1" si="12"/>
        <v>#N/A</v>
      </c>
      <c r="H325" s="5" t="e">
        <f t="shared" ca="1" si="13"/>
        <v>#N/A</v>
      </c>
      <c r="I325" s="5" t="e">
        <v>#N/A</v>
      </c>
      <c r="J325" s="5" t="e">
        <v>#N/A</v>
      </c>
      <c r="K325" s="5" t="str">
        <f ca="1">VLOOKUP(A325,'Kealing Site'!$A$2:$E$338,5,FALSE)</f>
        <v>Posting</v>
      </c>
      <c r="L325" s="5" t="str">
        <f ca="1">VLOOKUP(A325,'Kealing Site'!$A$2:$F$338,6,FALSE)</f>
        <v>Posting</v>
      </c>
    </row>
    <row r="326" spans="1:12" hidden="1">
      <c r="A326" s="16">
        <v>90012</v>
      </c>
      <c r="B326" s="16" t="str">
        <f>VLOOKUP(A326,'Reg Sheet'!A$2:F$357,6,FALSE)</f>
        <v>MS</v>
      </c>
      <c r="C326" s="4" t="s">
        <v>350</v>
      </c>
      <c r="D326" s="4" t="s">
        <v>339</v>
      </c>
      <c r="E326" s="4" t="str">
        <f>VLOOKUP(A326,'Reg Sheet'!A$2:G$357,7,FALSE)</f>
        <v>7th</v>
      </c>
      <c r="F326" s="5" t="s">
        <v>15</v>
      </c>
      <c r="G326" s="5">
        <f t="shared" ca="1" si="12"/>
        <v>472</v>
      </c>
      <c r="H326" s="5">
        <f t="shared" ca="1" si="13"/>
        <v>6</v>
      </c>
      <c r="I326" s="5">
        <v>228</v>
      </c>
      <c r="J326" s="5">
        <v>2</v>
      </c>
      <c r="K326" s="5">
        <f ca="1">VLOOKUP(A326,'Kealing Site'!$A$2:$E$338,5,FALSE)</f>
        <v>244</v>
      </c>
      <c r="L326" s="5">
        <f ca="1">VLOOKUP(A326,'Kealing Site'!$A$2:$F$338,6,FALSE)</f>
        <v>4</v>
      </c>
    </row>
    <row r="327" spans="1:12" hidden="1">
      <c r="A327" s="16">
        <v>90013</v>
      </c>
      <c r="B327" s="16" t="str">
        <f>VLOOKUP(A327,'Reg Sheet'!A$2:F$357,6,FALSE)</f>
        <v>MS</v>
      </c>
      <c r="C327" s="4" t="s">
        <v>351</v>
      </c>
      <c r="D327" s="4" t="s">
        <v>339</v>
      </c>
      <c r="E327" s="4" t="str">
        <f>VLOOKUP(A327,'Reg Sheet'!A$2:G$357,7,FALSE)</f>
        <v>7th</v>
      </c>
      <c r="F327" s="5" t="s">
        <v>13</v>
      </c>
      <c r="G327" s="5">
        <f t="shared" ca="1" si="12"/>
        <v>512</v>
      </c>
      <c r="H327" s="5">
        <f t="shared" ca="1" si="13"/>
        <v>13</v>
      </c>
      <c r="I327" s="5">
        <v>262</v>
      </c>
      <c r="J327" s="5">
        <v>9</v>
      </c>
      <c r="K327" s="5">
        <f ca="1">VLOOKUP(A327,'Kealing Site'!$A$2:$E$338,5,FALSE)</f>
        <v>250</v>
      </c>
      <c r="L327" s="5">
        <f ca="1">VLOOKUP(A327,'Kealing Site'!$A$2:$F$338,6,FALSE)</f>
        <v>4</v>
      </c>
    </row>
    <row r="328" spans="1:12" hidden="1">
      <c r="A328" s="16">
        <v>90014</v>
      </c>
      <c r="B328" s="16" t="str">
        <f>VLOOKUP(A328,'Reg Sheet'!A$2:F$357,6,FALSE)</f>
        <v>MS</v>
      </c>
      <c r="C328" s="4" t="s">
        <v>352</v>
      </c>
      <c r="D328" s="4" t="s">
        <v>339</v>
      </c>
      <c r="E328" s="4" t="str">
        <f>VLOOKUP(A328,'Reg Sheet'!A$2:G$357,7,FALSE)</f>
        <v>6th</v>
      </c>
      <c r="F328" s="5" t="s">
        <v>13</v>
      </c>
      <c r="G328" s="5" t="e">
        <f t="shared" ca="1" si="12"/>
        <v>#N/A</v>
      </c>
      <c r="H328" s="5" t="e">
        <f t="shared" ca="1" si="13"/>
        <v>#N/A</v>
      </c>
      <c r="I328" s="5" t="e">
        <v>#N/A</v>
      </c>
      <c r="J328" s="5" t="e">
        <v>#N/A</v>
      </c>
      <c r="K328" s="5">
        <f ca="1">VLOOKUP(A328,'Kealing Site'!$A$2:$E$338,5,FALSE)</f>
        <v>270</v>
      </c>
      <c r="L328" s="5">
        <f ca="1">VLOOKUP(A328,'Kealing Site'!$A$2:$F$338,6,FALSE)</f>
        <v>9</v>
      </c>
    </row>
    <row r="329" spans="1:12" hidden="1">
      <c r="A329" s="16">
        <v>90015</v>
      </c>
      <c r="B329" s="16" t="str">
        <f>VLOOKUP(A329,'Reg Sheet'!A$2:F$357,6,FALSE)</f>
        <v>MS</v>
      </c>
      <c r="C329" s="4" t="s">
        <v>353</v>
      </c>
      <c r="D329" s="4" t="s">
        <v>339</v>
      </c>
      <c r="E329" s="4" t="str">
        <f>VLOOKUP(A329,'Reg Sheet'!A$2:G$357,7,FALSE)</f>
        <v>7th</v>
      </c>
      <c r="F329" s="5" t="s">
        <v>13</v>
      </c>
      <c r="G329" s="5">
        <f t="shared" ca="1" si="12"/>
        <v>394</v>
      </c>
      <c r="H329" s="5">
        <f t="shared" ca="1" si="13"/>
        <v>8</v>
      </c>
      <c r="I329" s="5">
        <v>255</v>
      </c>
      <c r="J329" s="5">
        <v>6</v>
      </c>
      <c r="K329" s="5">
        <f ca="1">VLOOKUP(A329,'Kealing Site'!$A$2:$E$338,5,FALSE)</f>
        <v>139</v>
      </c>
      <c r="L329" s="5">
        <f ca="1">VLOOKUP(A329,'Kealing Site'!$A$2:$F$338,6,FALSE)</f>
        <v>2</v>
      </c>
    </row>
    <row r="330" spans="1:12" hidden="1">
      <c r="A330" s="16">
        <v>90016</v>
      </c>
      <c r="B330" s="16" t="str">
        <f>VLOOKUP(A330,'Reg Sheet'!A$2:F$357,6,FALSE)</f>
        <v>MS</v>
      </c>
      <c r="C330" s="4" t="s">
        <v>354</v>
      </c>
      <c r="D330" s="4" t="s">
        <v>339</v>
      </c>
      <c r="E330" s="4" t="str">
        <f>VLOOKUP(A330,'Reg Sheet'!A$2:G$357,7,FALSE)</f>
        <v>6th</v>
      </c>
      <c r="F330" s="5" t="s">
        <v>13</v>
      </c>
      <c r="G330" s="5">
        <f t="shared" ca="1" si="12"/>
        <v>479</v>
      </c>
      <c r="H330" s="5">
        <f t="shared" ca="1" si="13"/>
        <v>12</v>
      </c>
      <c r="I330" s="5">
        <v>220</v>
      </c>
      <c r="J330" s="5">
        <v>4</v>
      </c>
      <c r="K330" s="5">
        <f ca="1">VLOOKUP(A330,'Kealing Site'!$A$2:$E$338,5,FALSE)</f>
        <v>259</v>
      </c>
      <c r="L330" s="5">
        <f ca="1">VLOOKUP(A330,'Kealing Site'!$A$2:$F$338,6,FALSE)</f>
        <v>8</v>
      </c>
    </row>
    <row r="331" spans="1:12" hidden="1">
      <c r="A331" s="16">
        <v>90017</v>
      </c>
      <c r="B331" s="16" t="str">
        <f>VLOOKUP(A331,'Reg Sheet'!A$2:F$357,6,FALSE)</f>
        <v>MS</v>
      </c>
      <c r="C331" s="4" t="s">
        <v>355</v>
      </c>
      <c r="D331" s="4" t="s">
        <v>339</v>
      </c>
      <c r="E331" s="4" t="str">
        <f>VLOOKUP(A331,'Reg Sheet'!A$2:G$357,7,FALSE)</f>
        <v>6th</v>
      </c>
      <c r="F331" s="5" t="s">
        <v>13</v>
      </c>
      <c r="G331" s="5">
        <f t="shared" ca="1" si="12"/>
        <v>510</v>
      </c>
      <c r="H331" s="5">
        <f t="shared" ca="1" si="13"/>
        <v>10</v>
      </c>
      <c r="I331" s="5">
        <v>268</v>
      </c>
      <c r="J331" s="5">
        <v>9</v>
      </c>
      <c r="K331" s="5">
        <f ca="1">VLOOKUP(A331,'Kealing Site'!$A$2:$E$338,5,FALSE)</f>
        <v>242</v>
      </c>
      <c r="L331" s="5">
        <f ca="1">VLOOKUP(A331,'Kealing Site'!$A$2:$F$338,6,FALSE)</f>
        <v>1</v>
      </c>
    </row>
    <row r="332" spans="1:12" hidden="1">
      <c r="A332" s="16">
        <v>90018</v>
      </c>
      <c r="B332" s="16" t="str">
        <f>VLOOKUP(A332,'Reg Sheet'!A$2:F$357,6,FALSE)</f>
        <v>MS</v>
      </c>
      <c r="C332" s="4" t="s">
        <v>356</v>
      </c>
      <c r="D332" s="4" t="s">
        <v>339</v>
      </c>
      <c r="E332" s="4" t="str">
        <f>VLOOKUP(A332,'Reg Sheet'!A$2:G$357,7,FALSE)</f>
        <v>7th</v>
      </c>
      <c r="F332" s="5" t="s">
        <v>15</v>
      </c>
      <c r="G332" s="5">
        <f t="shared" ca="1" si="12"/>
        <v>571</v>
      </c>
      <c r="H332" s="5">
        <f t="shared" ca="1" si="13"/>
        <v>35</v>
      </c>
      <c r="I332" s="5">
        <v>284</v>
      </c>
      <c r="J332" s="5">
        <v>17</v>
      </c>
      <c r="K332" s="5">
        <f ca="1">VLOOKUP(A332,'Kealing Site'!$A$2:$E$338,5,FALSE)</f>
        <v>287</v>
      </c>
      <c r="L332" s="5">
        <f ca="1">VLOOKUP(A332,'Kealing Site'!$A$2:$F$338,6,FALSE)</f>
        <v>18</v>
      </c>
    </row>
    <row r="333" spans="1:12" hidden="1">
      <c r="A333" s="16">
        <v>90019</v>
      </c>
      <c r="B333" s="16" t="str">
        <f>VLOOKUP(A333,'Reg Sheet'!A$2:F$357,6,FALSE)</f>
        <v>MS</v>
      </c>
      <c r="C333" s="4" t="s">
        <v>357</v>
      </c>
      <c r="D333" s="4" t="s">
        <v>339</v>
      </c>
      <c r="E333" s="4" t="str">
        <f>VLOOKUP(A333,'Reg Sheet'!A$2:G$357,7,FALSE)</f>
        <v>8th</v>
      </c>
      <c r="F333" s="5" t="s">
        <v>13</v>
      </c>
      <c r="G333" s="5">
        <f t="shared" ca="1" si="12"/>
        <v>504</v>
      </c>
      <c r="H333" s="5">
        <f t="shared" ca="1" si="13"/>
        <v>14</v>
      </c>
      <c r="I333" s="5">
        <v>254</v>
      </c>
      <c r="J333" s="5">
        <v>7</v>
      </c>
      <c r="K333" s="5">
        <f ca="1">VLOOKUP(A333,'Kealing Site'!$A$2:$E$338,5,FALSE)</f>
        <v>250</v>
      </c>
      <c r="L333" s="5">
        <f ca="1">VLOOKUP(A333,'Kealing Site'!$A$2:$F$338,6,FALSE)</f>
        <v>7</v>
      </c>
    </row>
    <row r="334" spans="1:12" hidden="1">
      <c r="A334" s="16">
        <v>90020</v>
      </c>
      <c r="B334" s="16" t="str">
        <f>VLOOKUP(A334,'Reg Sheet'!A$2:F$357,6,FALSE)</f>
        <v>MS</v>
      </c>
      <c r="C334" s="4" t="s">
        <v>358</v>
      </c>
      <c r="D334" s="4" t="s">
        <v>339</v>
      </c>
      <c r="E334" s="4" t="str">
        <f>VLOOKUP(A334,'Reg Sheet'!A$2:G$357,7,FALSE)</f>
        <v>7th</v>
      </c>
      <c r="F334" s="5" t="s">
        <v>13</v>
      </c>
      <c r="G334" s="5" t="e">
        <f t="shared" ca="1" si="12"/>
        <v>#N/A</v>
      </c>
      <c r="H334" s="5" t="e">
        <f t="shared" ca="1" si="13"/>
        <v>#N/A</v>
      </c>
      <c r="I334" s="5" t="e">
        <v>#N/A</v>
      </c>
      <c r="J334" s="5" t="e">
        <v>#N/A</v>
      </c>
      <c r="K334" s="5">
        <f ca="1">VLOOKUP(A334,'Kealing Site'!$A$2:$E$338,5,FALSE)</f>
        <v>202</v>
      </c>
      <c r="L334" s="5">
        <f ca="1">VLOOKUP(A334,'Kealing Site'!$A$2:$F$338,6,FALSE)</f>
        <v>2</v>
      </c>
    </row>
    <row r="335" spans="1:12" hidden="1">
      <c r="A335" s="16">
        <v>90021</v>
      </c>
      <c r="B335" s="16" t="str">
        <f>VLOOKUP(A335,'Reg Sheet'!A$2:F$357,6,FALSE)</f>
        <v>MS</v>
      </c>
      <c r="C335" s="4" t="s">
        <v>359</v>
      </c>
      <c r="D335" s="4" t="s">
        <v>339</v>
      </c>
      <c r="E335" s="4" t="str">
        <f>VLOOKUP(A335,'Reg Sheet'!A$2:G$357,7,FALSE)</f>
        <v>6th</v>
      </c>
      <c r="F335" s="5" t="s">
        <v>13</v>
      </c>
      <c r="G335" s="5">
        <f t="shared" ca="1" si="12"/>
        <v>433</v>
      </c>
      <c r="H335" s="5">
        <f t="shared" ca="1" si="13"/>
        <v>3</v>
      </c>
      <c r="I335" s="5">
        <v>234</v>
      </c>
      <c r="J335" s="5">
        <v>1</v>
      </c>
      <c r="K335" s="5">
        <f ca="1">VLOOKUP(A335,'Kealing Site'!$A$2:$E$338,5,FALSE)</f>
        <v>199</v>
      </c>
      <c r="L335" s="5">
        <f ca="1">VLOOKUP(A335,'Kealing Site'!$A$2:$F$338,6,FALSE)</f>
        <v>2</v>
      </c>
    </row>
    <row r="336" spans="1:12" hidden="1">
      <c r="A336" s="16">
        <v>90022</v>
      </c>
      <c r="B336" s="16" t="str">
        <f>VLOOKUP(A336,'Reg Sheet'!A$2:F$357,6,FALSE)</f>
        <v>MS</v>
      </c>
      <c r="C336" s="4" t="s">
        <v>360</v>
      </c>
      <c r="D336" s="4" t="s">
        <v>339</v>
      </c>
      <c r="E336" s="4" t="str">
        <f>VLOOKUP(A336,'Reg Sheet'!A$2:G$357,7,FALSE)</f>
        <v>8th</v>
      </c>
      <c r="F336" s="5" t="s">
        <v>13</v>
      </c>
      <c r="G336" s="5" t="e">
        <f t="shared" ca="1" si="12"/>
        <v>#VALUE!</v>
      </c>
      <c r="H336" s="5" t="e">
        <f t="shared" ca="1" si="13"/>
        <v>#VALUE!</v>
      </c>
      <c r="I336" s="5">
        <v>208</v>
      </c>
      <c r="J336" s="5">
        <v>5</v>
      </c>
      <c r="K336" s="5" t="str">
        <f ca="1">VLOOKUP(A336,'Kealing Site'!$A$2:$E$338,5,FALSE)</f>
        <v>Posting</v>
      </c>
      <c r="L336" s="5" t="str">
        <f ca="1">VLOOKUP(A336,'Kealing Site'!$A$2:$F$338,6,FALSE)</f>
        <v>Posting</v>
      </c>
    </row>
    <row r="337" spans="1:12" hidden="1">
      <c r="A337" s="16">
        <v>90023</v>
      </c>
      <c r="B337" s="16" t="str">
        <f>VLOOKUP(A337,'Reg Sheet'!A$2:F$357,6,FALSE)</f>
        <v>MS</v>
      </c>
      <c r="C337" s="4" t="s">
        <v>361</v>
      </c>
      <c r="D337" s="4" t="s">
        <v>339</v>
      </c>
      <c r="E337" s="4" t="str">
        <f>VLOOKUP(A337,'Reg Sheet'!A$2:G$357,7,FALSE)</f>
        <v>6th</v>
      </c>
      <c r="F337" s="5" t="s">
        <v>15</v>
      </c>
      <c r="G337" s="5">
        <f t="shared" ca="1" si="12"/>
        <v>516</v>
      </c>
      <c r="H337" s="5">
        <f t="shared" ca="1" si="13"/>
        <v>15</v>
      </c>
      <c r="I337" s="5">
        <v>255</v>
      </c>
      <c r="J337" s="5">
        <v>7</v>
      </c>
      <c r="K337" s="5">
        <f ca="1">VLOOKUP(A337,'Kealing Site'!$A$2:$E$338,5,FALSE)</f>
        <v>261</v>
      </c>
      <c r="L337" s="5">
        <f ca="1">VLOOKUP(A337,'Kealing Site'!$A$2:$F$338,6,FALSE)</f>
        <v>8</v>
      </c>
    </row>
    <row r="338" spans="1:12" hidden="1">
      <c r="A338" s="16">
        <v>90024</v>
      </c>
      <c r="B338" s="16" t="str">
        <f>VLOOKUP(A338,'Reg Sheet'!A$2:F$357,6,FALSE)</f>
        <v>MS</v>
      </c>
      <c r="C338" s="4" t="s">
        <v>362</v>
      </c>
      <c r="D338" s="4" t="s">
        <v>339</v>
      </c>
      <c r="E338" s="4" t="str">
        <f>VLOOKUP(A338,'Reg Sheet'!A$2:G$357,7,FALSE)</f>
        <v>6th</v>
      </c>
      <c r="F338" s="5" t="s">
        <v>13</v>
      </c>
      <c r="G338" s="5" t="e">
        <f t="shared" ca="1" si="12"/>
        <v>#N/A</v>
      </c>
      <c r="H338" s="5" t="e">
        <f t="shared" ca="1" si="13"/>
        <v>#N/A</v>
      </c>
      <c r="I338" s="5" t="e">
        <v>#N/A</v>
      </c>
      <c r="J338" s="5" t="e">
        <v>#N/A</v>
      </c>
      <c r="K338" s="5" t="str">
        <f ca="1">VLOOKUP(A338,'Kealing Site'!$A$2:$E$338,5,FALSE)</f>
        <v>Posting</v>
      </c>
      <c r="L338" s="5" t="str">
        <f ca="1">VLOOKUP(A338,'Kealing Site'!$A$2:$F$338,6,FALSE)</f>
        <v>Posting</v>
      </c>
    </row>
    <row r="339" spans="1:12" hidden="1">
      <c r="A339" s="16">
        <v>90025</v>
      </c>
      <c r="B339" s="16" t="str">
        <f>VLOOKUP(A339,'Reg Sheet'!A$2:F$357,6,FALSE)</f>
        <v>MS</v>
      </c>
      <c r="C339" s="4" t="s">
        <v>363</v>
      </c>
      <c r="D339" s="4" t="s">
        <v>339</v>
      </c>
      <c r="E339" s="4" t="str">
        <f>VLOOKUP(A339,'Reg Sheet'!A$2:G$357,7,FALSE)</f>
        <v>6th</v>
      </c>
      <c r="F339" s="5" t="s">
        <v>13</v>
      </c>
      <c r="G339" s="5">
        <f t="shared" ca="1" si="12"/>
        <v>401</v>
      </c>
      <c r="H339" s="5">
        <f t="shared" ca="1" si="13"/>
        <v>7</v>
      </c>
      <c r="I339" s="5">
        <v>200</v>
      </c>
      <c r="J339" s="5">
        <v>4</v>
      </c>
      <c r="K339" s="5">
        <f ca="1">VLOOKUP(A339,'Kealing Site'!$A$2:$E$338,5,FALSE)</f>
        <v>201</v>
      </c>
      <c r="L339" s="5">
        <f ca="1">VLOOKUP(A339,'Kealing Site'!$A$2:$F$338,6,FALSE)</f>
        <v>3</v>
      </c>
    </row>
    <row r="340" spans="1:12" hidden="1">
      <c r="A340" s="16">
        <v>90026</v>
      </c>
      <c r="B340" s="16" t="str">
        <f>VLOOKUP(A340,'Reg Sheet'!A$2:F$357,6,FALSE)</f>
        <v>MS</v>
      </c>
      <c r="C340" s="4" t="s">
        <v>364</v>
      </c>
      <c r="D340" s="4" t="s">
        <v>339</v>
      </c>
      <c r="E340" s="4" t="str">
        <f>VLOOKUP(A340,'Reg Sheet'!A$2:G$357,7,FALSE)</f>
        <v>7th</v>
      </c>
      <c r="F340" s="5" t="s">
        <v>15</v>
      </c>
      <c r="G340" s="5">
        <f t="shared" ca="1" si="12"/>
        <v>510</v>
      </c>
      <c r="H340" s="5">
        <f t="shared" ca="1" si="13"/>
        <v>17</v>
      </c>
      <c r="I340" s="5">
        <v>259</v>
      </c>
      <c r="J340" s="5">
        <v>9</v>
      </c>
      <c r="K340" s="5">
        <f ca="1">VLOOKUP(A340,'Kealing Site'!$A$2:$E$338,5,FALSE)</f>
        <v>251</v>
      </c>
      <c r="L340" s="5">
        <f ca="1">VLOOKUP(A340,'Kealing Site'!$A$2:$F$338,6,FALSE)</f>
        <v>8</v>
      </c>
    </row>
    <row r="341" spans="1:12" hidden="1">
      <c r="A341" s="16">
        <v>90027</v>
      </c>
      <c r="B341" s="16" t="str">
        <f>VLOOKUP(A341,'Reg Sheet'!A$2:F$357,6,FALSE)</f>
        <v>MS</v>
      </c>
      <c r="C341" s="4" t="s">
        <v>365</v>
      </c>
      <c r="D341" s="4" t="s">
        <v>339</v>
      </c>
      <c r="E341" s="4" t="str">
        <f>VLOOKUP(A341,'Reg Sheet'!A$2:G$357,7,FALSE)</f>
        <v>6th</v>
      </c>
      <c r="F341" s="5" t="s">
        <v>15</v>
      </c>
      <c r="G341" s="5">
        <f t="shared" ca="1" si="12"/>
        <v>489</v>
      </c>
      <c r="H341" s="5">
        <f t="shared" ca="1" si="13"/>
        <v>9</v>
      </c>
      <c r="I341" s="5">
        <v>238</v>
      </c>
      <c r="J341" s="5">
        <v>3</v>
      </c>
      <c r="K341" s="5">
        <f ca="1">VLOOKUP(A341,'Kealing Site'!$A$2:$E$338,5,FALSE)</f>
        <v>251</v>
      </c>
      <c r="L341" s="5">
        <f ca="1">VLOOKUP(A341,'Kealing Site'!$A$2:$F$338,6,FALSE)</f>
        <v>6</v>
      </c>
    </row>
    <row r="342" spans="1:12" hidden="1">
      <c r="A342" s="16">
        <v>90028</v>
      </c>
      <c r="B342" s="16" t="str">
        <f>VLOOKUP(A342,'Reg Sheet'!A$2:F$357,6,FALSE)</f>
        <v>MS</v>
      </c>
      <c r="C342" s="4" t="s">
        <v>366</v>
      </c>
      <c r="D342" s="4" t="s">
        <v>339</v>
      </c>
      <c r="E342" s="4" t="str">
        <f>VLOOKUP(A342,'Reg Sheet'!A$2:G$357,7,FALSE)</f>
        <v>8th</v>
      </c>
      <c r="F342" s="5" t="s">
        <v>15</v>
      </c>
      <c r="G342" s="5">
        <f t="shared" ca="1" si="12"/>
        <v>530</v>
      </c>
      <c r="H342" s="5">
        <f t="shared" ca="1" si="13"/>
        <v>16</v>
      </c>
      <c r="I342" s="5">
        <v>269</v>
      </c>
      <c r="J342" s="5">
        <v>9</v>
      </c>
      <c r="K342" s="5">
        <f ca="1">VLOOKUP(A342,'Kealing Site'!$A$2:$E$338,5,FALSE)</f>
        <v>261</v>
      </c>
      <c r="L342" s="5">
        <f ca="1">VLOOKUP(A342,'Kealing Site'!$A$2:$F$338,6,FALSE)</f>
        <v>7</v>
      </c>
    </row>
    <row r="343" spans="1:12" hidden="1">
      <c r="A343" s="16">
        <v>90029</v>
      </c>
      <c r="B343" s="16" t="str">
        <f>VLOOKUP(A343,'Reg Sheet'!A$2:F$357,6,FALSE)</f>
        <v>MS</v>
      </c>
      <c r="C343" s="4" t="s">
        <v>367</v>
      </c>
      <c r="D343" s="4" t="s">
        <v>339</v>
      </c>
      <c r="E343" s="4" t="str">
        <f>VLOOKUP(A343,'Reg Sheet'!A$2:G$357,7,FALSE)</f>
        <v>8th</v>
      </c>
      <c r="F343" s="5" t="s">
        <v>15</v>
      </c>
      <c r="G343" s="5">
        <f t="shared" ca="1" si="12"/>
        <v>493</v>
      </c>
      <c r="H343" s="5">
        <f t="shared" ca="1" si="13"/>
        <v>13</v>
      </c>
      <c r="I343" s="5">
        <v>246</v>
      </c>
      <c r="J343" s="5">
        <v>7</v>
      </c>
      <c r="K343" s="5">
        <f ca="1">VLOOKUP(A343,'Kealing Site'!$A$2:$E$338,5,FALSE)</f>
        <v>247</v>
      </c>
      <c r="L343" s="5">
        <f ca="1">VLOOKUP(A343,'Kealing Site'!$A$2:$F$338,6,FALSE)</f>
        <v>6</v>
      </c>
    </row>
    <row r="344" spans="1:12" hidden="1">
      <c r="A344" s="16">
        <v>90030</v>
      </c>
      <c r="B344" s="16" t="str">
        <f>VLOOKUP(A344,'Reg Sheet'!A$2:F$357,6,FALSE)</f>
        <v>MS</v>
      </c>
      <c r="C344" s="4" t="s">
        <v>368</v>
      </c>
      <c r="D344" s="4" t="s">
        <v>339</v>
      </c>
      <c r="E344" s="4" t="str">
        <f>VLOOKUP(A344,'Reg Sheet'!A$2:G$357,7,FALSE)</f>
        <v>8th</v>
      </c>
      <c r="F344" s="5" t="s">
        <v>13</v>
      </c>
      <c r="G344" s="5">
        <f t="shared" ca="1" si="12"/>
        <v>541</v>
      </c>
      <c r="H344" s="5">
        <f t="shared" ca="1" si="13"/>
        <v>21</v>
      </c>
      <c r="I344" s="5">
        <v>264</v>
      </c>
      <c r="J344" s="5">
        <v>9</v>
      </c>
      <c r="K344" s="5">
        <f ca="1">VLOOKUP(A344,'Kealing Site'!$A$2:$E$338,5,FALSE)</f>
        <v>277</v>
      </c>
      <c r="L344" s="5">
        <f ca="1">VLOOKUP(A344,'Kealing Site'!$A$2:$F$338,6,FALSE)</f>
        <v>12</v>
      </c>
    </row>
    <row r="345" spans="1:12" hidden="1">
      <c r="A345" s="16">
        <v>90031</v>
      </c>
      <c r="B345" s="16" t="str">
        <f>VLOOKUP(A345,'Reg Sheet'!A$2:F$357,6,FALSE)</f>
        <v>MS</v>
      </c>
      <c r="C345" s="4" t="s">
        <v>369</v>
      </c>
      <c r="D345" s="4" t="s">
        <v>339</v>
      </c>
      <c r="E345" s="4" t="str">
        <f>VLOOKUP(A345,'Reg Sheet'!A$2:G$357,7,FALSE)</f>
        <v>6th</v>
      </c>
      <c r="F345" s="5" t="s">
        <v>15</v>
      </c>
      <c r="G345" s="5">
        <f t="shared" ca="1" si="12"/>
        <v>495</v>
      </c>
      <c r="H345" s="5">
        <f t="shared" ca="1" si="13"/>
        <v>13</v>
      </c>
      <c r="I345" s="5">
        <v>247</v>
      </c>
      <c r="J345" s="5">
        <v>6</v>
      </c>
      <c r="K345" s="5">
        <f ca="1">VLOOKUP(A345,'Kealing Site'!$A$2:$E$338,5,FALSE)</f>
        <v>248</v>
      </c>
      <c r="L345" s="5">
        <f ca="1">VLOOKUP(A345,'Kealing Site'!$A$2:$F$338,6,FALSE)</f>
        <v>7</v>
      </c>
    </row>
    <row r="346" spans="1:12" hidden="1">
      <c r="A346" s="16">
        <v>90032</v>
      </c>
      <c r="B346" s="16" t="str">
        <f>VLOOKUP(A346,'Reg Sheet'!A$2:F$357,6,FALSE)</f>
        <v>MS</v>
      </c>
      <c r="C346" s="4" t="s">
        <v>370</v>
      </c>
      <c r="D346" s="4" t="s">
        <v>339</v>
      </c>
      <c r="E346" s="4" t="str">
        <f>VLOOKUP(A346,'Reg Sheet'!A$2:G$357,7,FALSE)</f>
        <v>6th</v>
      </c>
      <c r="F346" s="5" t="s">
        <v>13</v>
      </c>
      <c r="G346" s="5">
        <f t="shared" ca="1" si="12"/>
        <v>461</v>
      </c>
      <c r="H346" s="5">
        <f t="shared" ca="1" si="13"/>
        <v>9</v>
      </c>
      <c r="I346" s="5">
        <v>228</v>
      </c>
      <c r="J346" s="5">
        <v>2</v>
      </c>
      <c r="K346" s="5">
        <f ca="1">VLOOKUP(A346,'Kealing Site'!$A$2:$E$338,5,FALSE)</f>
        <v>233</v>
      </c>
      <c r="L346" s="5">
        <f ca="1">VLOOKUP(A346,'Kealing Site'!$A$2:$F$338,6,FALSE)</f>
        <v>7</v>
      </c>
    </row>
    <row r="347" spans="1:12" hidden="1">
      <c r="A347" s="16">
        <v>90033</v>
      </c>
      <c r="B347" s="16" t="str">
        <f>VLOOKUP(A347,'Reg Sheet'!A$2:F$357,6,FALSE)</f>
        <v>MS</v>
      </c>
      <c r="C347" s="4" t="s">
        <v>371</v>
      </c>
      <c r="D347" s="4" t="s">
        <v>339</v>
      </c>
      <c r="E347" s="4" t="str">
        <f>VLOOKUP(A347,'Reg Sheet'!A$2:G$357,7,FALSE)</f>
        <v>6th</v>
      </c>
      <c r="F347" s="5" t="s">
        <v>13</v>
      </c>
      <c r="G347" s="5">
        <f t="shared" ca="1" si="12"/>
        <v>518</v>
      </c>
      <c r="H347" s="5">
        <f t="shared" ca="1" si="13"/>
        <v>17</v>
      </c>
      <c r="I347" s="5">
        <v>258</v>
      </c>
      <c r="J347" s="5">
        <v>12</v>
      </c>
      <c r="K347" s="5">
        <f ca="1">VLOOKUP(A347,'Kealing Site'!$A$2:$E$338,5,FALSE)</f>
        <v>260</v>
      </c>
      <c r="L347" s="5">
        <f ca="1">VLOOKUP(A347,'Kealing Site'!$A$2:$F$338,6,FALSE)</f>
        <v>5</v>
      </c>
    </row>
    <row r="348" spans="1:12" hidden="1">
      <c r="A348" s="16">
        <v>90034</v>
      </c>
      <c r="B348" s="16" t="str">
        <f>VLOOKUP(A348,'Reg Sheet'!A$2:F$357,6,FALSE)</f>
        <v>MS</v>
      </c>
      <c r="C348" s="4" t="s">
        <v>372</v>
      </c>
      <c r="D348" s="4" t="s">
        <v>339</v>
      </c>
      <c r="E348" s="4" t="str">
        <f>VLOOKUP(A348,'Reg Sheet'!A$2:G$357,7,FALSE)</f>
        <v>7th</v>
      </c>
      <c r="F348" s="5" t="s">
        <v>15</v>
      </c>
      <c r="G348" s="5">
        <f t="shared" ca="1" si="12"/>
        <v>558</v>
      </c>
      <c r="H348" s="5">
        <f t="shared" ca="1" si="13"/>
        <v>26</v>
      </c>
      <c r="I348" s="5">
        <v>278</v>
      </c>
      <c r="J348" s="5">
        <v>13</v>
      </c>
      <c r="K348" s="5">
        <f ca="1">VLOOKUP(A348,'Kealing Site'!$A$2:$E$338,5,FALSE)</f>
        <v>280</v>
      </c>
      <c r="L348" s="5">
        <f ca="1">VLOOKUP(A348,'Kealing Site'!$A$2:$F$338,6,FALSE)</f>
        <v>13</v>
      </c>
    </row>
    <row r="349" spans="1:12" hidden="1">
      <c r="A349" s="16">
        <v>90035</v>
      </c>
      <c r="B349" s="16" t="str">
        <f>VLOOKUP(A349,'Reg Sheet'!A$2:F$357,6,FALSE)</f>
        <v>MS</v>
      </c>
      <c r="C349" s="4" t="s">
        <v>373</v>
      </c>
      <c r="D349" s="4" t="s">
        <v>339</v>
      </c>
      <c r="E349" s="4" t="str">
        <f>VLOOKUP(A349,'Reg Sheet'!A$2:G$357,7,FALSE)</f>
        <v>7th</v>
      </c>
      <c r="F349" s="5" t="s">
        <v>15</v>
      </c>
      <c r="G349" s="5">
        <f t="shared" ca="1" si="12"/>
        <v>486</v>
      </c>
      <c r="H349" s="5">
        <f t="shared" ca="1" si="13"/>
        <v>12</v>
      </c>
      <c r="I349" s="5">
        <v>245</v>
      </c>
      <c r="J349" s="5">
        <v>6</v>
      </c>
      <c r="K349" s="5">
        <f ca="1">VLOOKUP(A349,'Kealing Site'!$A$2:$E$338,5,FALSE)</f>
        <v>241</v>
      </c>
      <c r="L349" s="5">
        <f ca="1">VLOOKUP(A349,'Kealing Site'!$A$2:$F$338,6,FALSE)</f>
        <v>6</v>
      </c>
    </row>
    <row r="350" spans="1:12" hidden="1">
      <c r="A350" s="16">
        <v>90036</v>
      </c>
      <c r="B350" s="16" t="str">
        <f>VLOOKUP(A350,'Reg Sheet'!A$2:F$357,6,FALSE)</f>
        <v>MS</v>
      </c>
      <c r="C350" s="4" t="s">
        <v>374</v>
      </c>
      <c r="D350" s="4" t="s">
        <v>339</v>
      </c>
      <c r="E350" s="4" t="str">
        <f>VLOOKUP(A350,'Reg Sheet'!A$2:G$357,7,FALSE)</f>
        <v>6th</v>
      </c>
      <c r="F350" s="5" t="s">
        <v>13</v>
      </c>
      <c r="G350" s="5" t="e">
        <f t="shared" ca="1" si="12"/>
        <v>#N/A</v>
      </c>
      <c r="H350" s="5" t="e">
        <f t="shared" ca="1" si="13"/>
        <v>#N/A</v>
      </c>
      <c r="I350" s="5">
        <v>222</v>
      </c>
      <c r="J350" s="5">
        <v>3</v>
      </c>
      <c r="K350" s="5" t="e">
        <f ca="1">VLOOKUP(A350,'Kealing Site'!$A$2:$E$338,5,FALSE)</f>
        <v>#N/A</v>
      </c>
      <c r="L350" s="5" t="e">
        <f ca="1">VLOOKUP(A350,'Kealing Site'!$A$2:$F$338,6,FALSE)</f>
        <v>#N/A</v>
      </c>
    </row>
    <row r="351" spans="1:12" hidden="1">
      <c r="A351" s="16">
        <v>90037</v>
      </c>
      <c r="B351" s="16" t="str">
        <f>VLOOKUP(A351,'Reg Sheet'!A$2:F$357,6,FALSE)</f>
        <v>MS</v>
      </c>
      <c r="C351" s="4" t="s">
        <v>375</v>
      </c>
      <c r="D351" s="4" t="s">
        <v>339</v>
      </c>
      <c r="E351" s="4" t="str">
        <f>VLOOKUP(A351,'Reg Sheet'!A$2:G$357,7,FALSE)</f>
        <v>6th</v>
      </c>
      <c r="F351" s="5" t="s">
        <v>13</v>
      </c>
      <c r="G351" s="5">
        <f t="shared" ca="1" si="12"/>
        <v>457</v>
      </c>
      <c r="H351" s="5">
        <f t="shared" ca="1" si="13"/>
        <v>7</v>
      </c>
      <c r="I351" s="5">
        <v>226</v>
      </c>
      <c r="J351" s="5">
        <v>3</v>
      </c>
      <c r="K351" s="5">
        <f ca="1">VLOOKUP(A351,'Kealing Site'!$A$2:$E$338,5,FALSE)</f>
        <v>231</v>
      </c>
      <c r="L351" s="5">
        <f ca="1">VLOOKUP(A351,'Kealing Site'!$A$2:$F$338,6,FALSE)</f>
        <v>4</v>
      </c>
    </row>
    <row r="352" spans="1:12" hidden="1">
      <c r="A352" s="16">
        <v>90038</v>
      </c>
      <c r="B352" s="16" t="str">
        <f>VLOOKUP(A352,'Reg Sheet'!A$2:F$357,6,FALSE)</f>
        <v>MS</v>
      </c>
      <c r="C352" s="4" t="s">
        <v>376</v>
      </c>
      <c r="D352" s="4" t="s">
        <v>339</v>
      </c>
      <c r="E352" s="4" t="str">
        <f>VLOOKUP(A352,'Reg Sheet'!A$2:G$357,7,FALSE)</f>
        <v>6th</v>
      </c>
      <c r="F352" s="5" t="s">
        <v>15</v>
      </c>
      <c r="G352" s="5">
        <f t="shared" ca="1" si="12"/>
        <v>505</v>
      </c>
      <c r="H352" s="5">
        <f t="shared" ca="1" si="13"/>
        <v>15</v>
      </c>
      <c r="I352" s="5">
        <v>247</v>
      </c>
      <c r="J352" s="5">
        <v>6</v>
      </c>
      <c r="K352" s="5">
        <f ca="1">VLOOKUP(A352,'Kealing Site'!$A$2:$E$338,5,FALSE)</f>
        <v>258</v>
      </c>
      <c r="L352" s="5">
        <f ca="1">VLOOKUP(A352,'Kealing Site'!$A$2:$F$338,6,FALSE)</f>
        <v>9</v>
      </c>
    </row>
    <row r="353" spans="1:12" hidden="1">
      <c r="A353" s="16">
        <v>90039</v>
      </c>
      <c r="B353" s="16" t="str">
        <f>VLOOKUP(A353,'Reg Sheet'!A$2:F$357,6,FALSE)</f>
        <v>MS</v>
      </c>
      <c r="C353" s="4" t="s">
        <v>377</v>
      </c>
      <c r="D353" s="4" t="s">
        <v>339</v>
      </c>
      <c r="E353" s="4" t="str">
        <f>VLOOKUP(A353,'Reg Sheet'!A$2:G$357,7,FALSE)</f>
        <v>6th</v>
      </c>
      <c r="F353" s="5" t="s">
        <v>15</v>
      </c>
      <c r="G353" s="5" t="e">
        <f t="shared" ca="1" si="12"/>
        <v>#N/A</v>
      </c>
      <c r="H353" s="5" t="e">
        <f t="shared" ca="1" si="13"/>
        <v>#N/A</v>
      </c>
      <c r="I353" s="5">
        <v>274</v>
      </c>
      <c r="J353" s="5">
        <v>16</v>
      </c>
      <c r="K353" s="5" t="e">
        <f ca="1">VLOOKUP(A353,'Kealing Site'!$A$2:$E$338,5,FALSE)</f>
        <v>#N/A</v>
      </c>
      <c r="L353" s="5" t="e">
        <f ca="1">VLOOKUP(A353,'Kealing Site'!$A$2:$F$338,6,FALSE)</f>
        <v>#N/A</v>
      </c>
    </row>
    <row r="354" spans="1:12" hidden="1">
      <c r="A354" s="16">
        <v>90040</v>
      </c>
      <c r="B354" s="16" t="str">
        <f>VLOOKUP(A354,'Reg Sheet'!A$2:F$357,6,FALSE)</f>
        <v>MS</v>
      </c>
      <c r="C354" s="4" t="s">
        <v>378</v>
      </c>
      <c r="D354" s="4" t="s">
        <v>339</v>
      </c>
      <c r="E354" s="4" t="str">
        <f>VLOOKUP(A354,'Reg Sheet'!A$2:G$357,7,FALSE)</f>
        <v>8th</v>
      </c>
      <c r="F354" s="5" t="s">
        <v>15</v>
      </c>
      <c r="G354" s="5">
        <f t="shared" ca="1" si="12"/>
        <v>552</v>
      </c>
      <c r="H354" s="5">
        <f t="shared" ca="1" si="13"/>
        <v>29</v>
      </c>
      <c r="I354" s="5">
        <v>280</v>
      </c>
      <c r="J354" s="5">
        <v>18</v>
      </c>
      <c r="K354" s="5">
        <f ca="1">VLOOKUP(A354,'Kealing Site'!$A$2:$E$338,5,FALSE)</f>
        <v>272</v>
      </c>
      <c r="L354" s="5">
        <f ca="1">VLOOKUP(A354,'Kealing Site'!$A$2:$F$338,6,FALSE)</f>
        <v>11</v>
      </c>
    </row>
    <row r="355" spans="1:12" hidden="1">
      <c r="A355" s="16">
        <v>90041</v>
      </c>
      <c r="B355" s="16" t="str">
        <f>VLOOKUP(A355,'Reg Sheet'!A$2:F$357,6,FALSE)</f>
        <v>MS</v>
      </c>
      <c r="C355" s="4" t="s">
        <v>379</v>
      </c>
      <c r="D355" s="4" t="s">
        <v>339</v>
      </c>
      <c r="E355" s="4" t="str">
        <f>VLOOKUP(A355,'Reg Sheet'!A$2:G$357,7,FALSE)</f>
        <v>6th</v>
      </c>
      <c r="F355" s="5" t="s">
        <v>13</v>
      </c>
      <c r="G355" s="5" t="e">
        <f t="shared" ca="1" si="12"/>
        <v>#N/A</v>
      </c>
      <c r="H355" s="5" t="e">
        <f t="shared" ca="1" si="13"/>
        <v>#N/A</v>
      </c>
      <c r="I355" s="5" t="e">
        <v>#N/A</v>
      </c>
      <c r="J355" s="5" t="e">
        <v>#N/A</v>
      </c>
      <c r="K355" s="5">
        <f ca="1">VLOOKUP(A355,'Kealing Site'!$A$2:$E$338,5,FALSE)</f>
        <v>125</v>
      </c>
      <c r="L355" s="5">
        <f ca="1">VLOOKUP(A355,'Kealing Site'!$A$2:$F$338,6,FALSE)</f>
        <v>1</v>
      </c>
    </row>
    <row r="356" spans="1:12" hidden="1">
      <c r="A356" s="16">
        <v>90042</v>
      </c>
      <c r="B356" s="16" t="str">
        <f>VLOOKUP(A356,'Reg Sheet'!A$2:F$357,6,FALSE)</f>
        <v>MS</v>
      </c>
      <c r="C356" s="4" t="s">
        <v>380</v>
      </c>
      <c r="D356" s="4" t="s">
        <v>339</v>
      </c>
      <c r="E356" s="4" t="str">
        <f>VLOOKUP(A356,'Reg Sheet'!A$2:G$357,7,FALSE)</f>
        <v>7th</v>
      </c>
      <c r="F356" s="5" t="s">
        <v>15</v>
      </c>
      <c r="G356" s="5" t="e">
        <f t="shared" ca="1" si="12"/>
        <v>#N/A</v>
      </c>
      <c r="H356" s="5" t="e">
        <f t="shared" ca="1" si="13"/>
        <v>#N/A</v>
      </c>
      <c r="I356" s="5" t="e">
        <v>#N/A</v>
      </c>
      <c r="J356" s="5" t="e">
        <v>#N/A</v>
      </c>
      <c r="K356" s="5">
        <f ca="1">VLOOKUP(A356,'Kealing Site'!$A$2:$E$338,5,FALSE)</f>
        <v>226</v>
      </c>
      <c r="L356" s="5">
        <f ca="1">VLOOKUP(A356,'Kealing Site'!$A$2:$F$338,6,FALSE)</f>
        <v>1</v>
      </c>
    </row>
    <row r="357" spans="1:12" hidden="1">
      <c r="A357" s="16">
        <v>90043</v>
      </c>
      <c r="B357" s="16" t="str">
        <f>VLOOKUP(A357,'Reg Sheet'!A$2:F$357,6,FALSE)</f>
        <v>MS</v>
      </c>
      <c r="C357" s="4" t="s">
        <v>381</v>
      </c>
      <c r="D357" s="4" t="s">
        <v>339</v>
      </c>
      <c r="E357" s="4" t="str">
        <f>VLOOKUP(A357,'Reg Sheet'!A$2:G$357,7,FALSE)</f>
        <v>6th</v>
      </c>
      <c r="F357" s="5" t="s">
        <v>13</v>
      </c>
      <c r="G357" s="5" t="e">
        <f t="shared" ca="1" si="12"/>
        <v>#N/A</v>
      </c>
      <c r="H357" s="5" t="e">
        <f t="shared" ca="1" si="13"/>
        <v>#N/A</v>
      </c>
      <c r="I357" s="5" t="e">
        <v>#N/A</v>
      </c>
      <c r="J357" s="5" t="e">
        <v>#N/A</v>
      </c>
      <c r="K357" s="5">
        <f ca="1">VLOOKUP(A357,'Kealing Site'!$A$2:$E$338,5,FALSE)</f>
        <v>251</v>
      </c>
      <c r="L357" s="5">
        <f ca="1">VLOOKUP(A357,'Kealing Site'!$A$2:$F$338,6,FALSE)</f>
        <v>4</v>
      </c>
    </row>
    <row r="358" spans="1:12" hidden="1">
      <c r="A358" s="16">
        <v>90044</v>
      </c>
      <c r="B358" s="16" t="str">
        <f>VLOOKUP(A358,'Reg Sheet'!A$2:F$357,6,FALSE)</f>
        <v>MS</v>
      </c>
      <c r="C358" s="4" t="s">
        <v>382</v>
      </c>
      <c r="D358" s="4" t="s">
        <v>339</v>
      </c>
      <c r="E358" s="4" t="str">
        <f>VLOOKUP(A358,'Reg Sheet'!A$2:G$357,7,FALSE)</f>
        <v>6th</v>
      </c>
      <c r="F358" s="5" t="s">
        <v>13</v>
      </c>
      <c r="G358" s="5" t="e">
        <f t="shared" ca="1" si="12"/>
        <v>#N/A</v>
      </c>
      <c r="H358" s="5" t="e">
        <f t="shared" ca="1" si="13"/>
        <v>#N/A</v>
      </c>
      <c r="I358" s="5" t="e">
        <v>#N/A</v>
      </c>
      <c r="J358" s="5" t="e">
        <v>#N/A</v>
      </c>
      <c r="K358" s="5" t="str">
        <f ca="1">VLOOKUP(A358,'Kealing Site'!$A$2:$E$338,5,FALSE)</f>
        <v>Posting</v>
      </c>
      <c r="L358" s="5" t="str">
        <f ca="1">VLOOKUP(A358,'Kealing Site'!$A$2:$F$338,6,FALSE)</f>
        <v>Posting</v>
      </c>
    </row>
  </sheetData>
  <autoFilter ref="A1:N358" xr:uid="{A6A14878-0F06-487C-8994-797874F77504}">
    <filterColumn colId="3">
      <filters>
        <filter val="Highland Park Elementary School"/>
      </filters>
    </filterColumn>
    <filterColumn colId="7">
      <filters>
        <filter val="10"/>
        <filter val="11"/>
        <filter val="12"/>
        <filter val="13"/>
        <filter val="14"/>
        <filter val="15"/>
        <filter val="16"/>
        <filter val="18"/>
        <filter val="19"/>
        <filter val="20"/>
        <filter val="21"/>
        <filter val="25"/>
        <filter val="5"/>
        <filter val="6"/>
        <filter val="7"/>
        <filter val="8"/>
        <filter val="9"/>
      </filters>
    </filterColumn>
    <sortState xmlns:xlrd2="http://schemas.microsoft.com/office/spreadsheetml/2017/richdata2" ref="A209:N247">
      <sortCondition descending="1" ref="G1:G35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813C-570E-403E-811D-B26C5AE569B8}">
  <dimension ref="A1:J110"/>
  <sheetViews>
    <sheetView topLeftCell="A90" workbookViewId="0">
      <selection activeCell="E100" sqref="E100"/>
    </sheetView>
  </sheetViews>
  <sheetFormatPr defaultRowHeight="15"/>
  <cols>
    <col min="1" max="1" width="8.140625" customWidth="1"/>
    <col min="2" max="2" width="23.28515625" customWidth="1"/>
    <col min="3" max="3" width="19.7109375" customWidth="1"/>
    <col min="4" max="4" width="12.7109375" customWidth="1"/>
    <col min="6" max="6" width="22.7109375" customWidth="1"/>
    <col min="7" max="7" width="15.7109375" customWidth="1"/>
    <col min="8" max="8" width="20.5703125" customWidth="1"/>
    <col min="9" max="9" width="16.42578125" customWidth="1"/>
  </cols>
  <sheetData>
    <row r="1" spans="1:10" ht="16.5">
      <c r="A1" s="27" t="s">
        <v>387</v>
      </c>
    </row>
    <row r="2" spans="1:10" ht="16.5" customHeight="1">
      <c r="B2" s="23" t="s">
        <v>398</v>
      </c>
      <c r="C2" s="24" t="s">
        <v>1</v>
      </c>
      <c r="D2" s="24" t="s">
        <v>8</v>
      </c>
      <c r="E2" s="24" t="s">
        <v>4</v>
      </c>
      <c r="F2" s="24" t="s">
        <v>385</v>
      </c>
      <c r="G2" s="23" t="s">
        <v>1020</v>
      </c>
      <c r="H2" s="21"/>
      <c r="I2" s="21"/>
      <c r="J2" s="21"/>
    </row>
    <row r="3" spans="1:10" ht="15.75">
      <c r="A3" s="25">
        <v>1</v>
      </c>
      <c r="B3" s="6" t="s">
        <v>228</v>
      </c>
      <c r="C3" s="6" t="s">
        <v>229</v>
      </c>
      <c r="D3" s="6" t="s">
        <v>458</v>
      </c>
      <c r="E3" s="16" t="s">
        <v>15</v>
      </c>
      <c r="F3" s="28">
        <v>524</v>
      </c>
      <c r="G3" s="16">
        <v>18</v>
      </c>
      <c r="H3" s="21"/>
      <c r="I3" s="21"/>
      <c r="J3" s="21"/>
    </row>
    <row r="4" spans="1:10">
      <c r="A4" s="25">
        <v>2</v>
      </c>
      <c r="B4" s="6" t="s">
        <v>257</v>
      </c>
      <c r="C4" s="6" t="s">
        <v>229</v>
      </c>
      <c r="D4" s="6" t="s">
        <v>458</v>
      </c>
      <c r="E4" s="16" t="s">
        <v>15</v>
      </c>
      <c r="F4" s="28">
        <v>522</v>
      </c>
      <c r="G4" s="16">
        <v>19</v>
      </c>
    </row>
    <row r="5" spans="1:10">
      <c r="A5" s="25">
        <v>3</v>
      </c>
      <c r="B5" s="6" t="s">
        <v>241</v>
      </c>
      <c r="C5" s="6" t="s">
        <v>229</v>
      </c>
      <c r="D5" s="6" t="s">
        <v>458</v>
      </c>
      <c r="E5" s="16" t="s">
        <v>15</v>
      </c>
      <c r="F5" s="28">
        <v>519</v>
      </c>
      <c r="G5" s="16">
        <v>16</v>
      </c>
    </row>
    <row r="6" spans="1:10" ht="16.5">
      <c r="A6" s="25"/>
      <c r="F6" s="22"/>
    </row>
    <row r="7" spans="1:10" ht="15.75">
      <c r="A7" s="26"/>
      <c r="B7" s="23" t="s">
        <v>398</v>
      </c>
      <c r="C7" s="24" t="s">
        <v>1</v>
      </c>
      <c r="D7" s="24" t="s">
        <v>8</v>
      </c>
      <c r="E7" s="24" t="s">
        <v>4</v>
      </c>
      <c r="F7" s="24" t="s">
        <v>385</v>
      </c>
      <c r="G7" s="23" t="s">
        <v>1020</v>
      </c>
      <c r="H7" s="21"/>
      <c r="I7" s="21"/>
      <c r="J7" s="21"/>
    </row>
    <row r="8" spans="1:10" ht="15.75">
      <c r="A8" s="25">
        <v>1</v>
      </c>
      <c r="B8" s="6" t="s">
        <v>126</v>
      </c>
      <c r="C8" s="6" t="s">
        <v>119</v>
      </c>
      <c r="D8" s="6" t="s">
        <v>458</v>
      </c>
      <c r="E8" s="16" t="s">
        <v>13</v>
      </c>
      <c r="F8" s="28">
        <v>552</v>
      </c>
      <c r="G8" s="16">
        <v>26</v>
      </c>
      <c r="H8" s="21"/>
      <c r="I8" s="21"/>
      <c r="J8" s="21"/>
    </row>
    <row r="9" spans="1:10">
      <c r="A9" s="25">
        <v>2</v>
      </c>
      <c r="B9" s="6" t="s">
        <v>246</v>
      </c>
      <c r="C9" s="6" t="s">
        <v>229</v>
      </c>
      <c r="D9" s="6" t="s">
        <v>458</v>
      </c>
      <c r="E9" s="16" t="s">
        <v>13</v>
      </c>
      <c r="F9" s="28">
        <v>543</v>
      </c>
      <c r="G9" s="16">
        <v>25</v>
      </c>
    </row>
    <row r="10" spans="1:10">
      <c r="A10" s="25">
        <v>3</v>
      </c>
      <c r="B10" s="6" t="s">
        <v>258</v>
      </c>
      <c r="C10" s="6" t="s">
        <v>229</v>
      </c>
      <c r="D10" s="6" t="s">
        <v>458</v>
      </c>
      <c r="E10" s="16" t="s">
        <v>13</v>
      </c>
      <c r="F10" s="28">
        <v>539</v>
      </c>
      <c r="G10" s="16">
        <v>25</v>
      </c>
    </row>
    <row r="11" spans="1:10" ht="16.5">
      <c r="A11" s="18"/>
    </row>
    <row r="12" spans="1:10" ht="16.5">
      <c r="A12" s="27" t="s">
        <v>388</v>
      </c>
    </row>
    <row r="13" spans="1:10" ht="16.5" customHeight="1">
      <c r="B13" s="23" t="s">
        <v>398</v>
      </c>
      <c r="C13" s="24" t="s">
        <v>1</v>
      </c>
      <c r="D13" s="24" t="s">
        <v>8</v>
      </c>
      <c r="E13" s="24" t="s">
        <v>4</v>
      </c>
      <c r="F13" s="24" t="s">
        <v>385</v>
      </c>
      <c r="G13" s="23" t="s">
        <v>1020</v>
      </c>
      <c r="H13" s="21"/>
      <c r="I13" s="21"/>
      <c r="J13" s="21"/>
    </row>
    <row r="14" spans="1:10" ht="15.75">
      <c r="A14" s="25">
        <v>1</v>
      </c>
      <c r="B14" s="4" t="s">
        <v>75</v>
      </c>
      <c r="C14" s="4" t="s">
        <v>70</v>
      </c>
      <c r="D14" s="4" t="s">
        <v>402</v>
      </c>
      <c r="E14" s="5" t="s">
        <v>15</v>
      </c>
      <c r="F14" s="5">
        <v>530</v>
      </c>
      <c r="G14" s="5">
        <v>16</v>
      </c>
      <c r="H14" s="21"/>
      <c r="I14" s="21"/>
      <c r="J14" s="21"/>
    </row>
    <row r="15" spans="1:10">
      <c r="A15" s="25">
        <v>2</v>
      </c>
      <c r="B15" s="4" t="s">
        <v>328</v>
      </c>
      <c r="C15" s="4" t="s">
        <v>271</v>
      </c>
      <c r="D15" s="4" t="s">
        <v>402</v>
      </c>
      <c r="E15" s="5" t="s">
        <v>15</v>
      </c>
      <c r="F15" s="5">
        <v>522</v>
      </c>
      <c r="G15" s="5">
        <v>20</v>
      </c>
    </row>
    <row r="16" spans="1:10">
      <c r="A16" s="25">
        <v>3</v>
      </c>
      <c r="B16" s="4" t="s">
        <v>361</v>
      </c>
      <c r="C16" s="4" t="s">
        <v>339</v>
      </c>
      <c r="D16" s="4" t="s">
        <v>402</v>
      </c>
      <c r="E16" s="5" t="s">
        <v>15</v>
      </c>
      <c r="F16" s="5">
        <v>516</v>
      </c>
      <c r="G16" s="5">
        <v>15</v>
      </c>
    </row>
    <row r="17" spans="1:10" ht="16.5">
      <c r="A17" s="25"/>
      <c r="F17" s="22"/>
    </row>
    <row r="18" spans="1:10" ht="15.75">
      <c r="A18" s="26"/>
      <c r="B18" s="23" t="s">
        <v>398</v>
      </c>
      <c r="C18" s="24" t="s">
        <v>1</v>
      </c>
      <c r="D18" s="24" t="s">
        <v>8</v>
      </c>
      <c r="E18" s="24" t="s">
        <v>4</v>
      </c>
      <c r="F18" s="24" t="s">
        <v>385</v>
      </c>
      <c r="G18" s="23" t="s">
        <v>1020</v>
      </c>
      <c r="H18" s="21"/>
      <c r="I18" s="21"/>
      <c r="J18" s="21"/>
    </row>
    <row r="19" spans="1:10" ht="15.75">
      <c r="A19" s="25">
        <v>1</v>
      </c>
      <c r="B19" s="4" t="s">
        <v>121</v>
      </c>
      <c r="C19" s="4" t="s">
        <v>119</v>
      </c>
      <c r="D19" s="4" t="s">
        <v>402</v>
      </c>
      <c r="E19" s="5" t="s">
        <v>13</v>
      </c>
      <c r="F19" s="5">
        <v>532</v>
      </c>
      <c r="G19" s="5">
        <v>16</v>
      </c>
      <c r="H19" s="21"/>
      <c r="I19" s="21"/>
      <c r="J19" s="21"/>
    </row>
    <row r="20" spans="1:10">
      <c r="A20" s="25">
        <v>2</v>
      </c>
      <c r="B20" s="4" t="s">
        <v>288</v>
      </c>
      <c r="C20" s="4" t="s">
        <v>271</v>
      </c>
      <c r="D20" s="4" t="s">
        <v>402</v>
      </c>
      <c r="E20" s="5" t="s">
        <v>13</v>
      </c>
      <c r="F20" s="5">
        <v>529</v>
      </c>
      <c r="G20" s="5">
        <v>19</v>
      </c>
    </row>
    <row r="21" spans="1:10">
      <c r="A21" s="25">
        <v>3</v>
      </c>
      <c r="B21" s="4" t="s">
        <v>301</v>
      </c>
      <c r="C21" s="4" t="s">
        <v>271</v>
      </c>
      <c r="D21" s="4" t="s">
        <v>402</v>
      </c>
      <c r="E21" s="5" t="s">
        <v>13</v>
      </c>
      <c r="F21" s="5">
        <v>518</v>
      </c>
      <c r="G21" s="5">
        <v>12</v>
      </c>
    </row>
    <row r="22" spans="1:10" ht="16.5">
      <c r="A22" s="18"/>
    </row>
    <row r="23" spans="1:10" ht="16.5">
      <c r="A23" s="27" t="s">
        <v>389</v>
      </c>
    </row>
    <row r="24" spans="1:10" ht="16.5" customHeight="1">
      <c r="B24" s="23" t="s">
        <v>398</v>
      </c>
      <c r="C24" s="24" t="s">
        <v>1</v>
      </c>
      <c r="D24" s="24" t="s">
        <v>8</v>
      </c>
      <c r="E24" s="24" t="s">
        <v>4</v>
      </c>
      <c r="F24" s="24" t="s">
        <v>385</v>
      </c>
      <c r="G24" s="23" t="s">
        <v>1020</v>
      </c>
      <c r="H24" s="21"/>
      <c r="I24" s="21"/>
      <c r="J24" s="21"/>
    </row>
    <row r="25" spans="1:10" ht="15.75">
      <c r="A25" s="25">
        <v>1</v>
      </c>
      <c r="B25" s="4" t="s">
        <v>356</v>
      </c>
      <c r="C25" s="4" t="s">
        <v>339</v>
      </c>
      <c r="D25" s="4" t="s">
        <v>425</v>
      </c>
      <c r="E25" s="5" t="s">
        <v>15</v>
      </c>
      <c r="F25" s="5">
        <v>571</v>
      </c>
      <c r="G25" s="5">
        <v>35</v>
      </c>
      <c r="H25" s="21"/>
      <c r="I25" s="21"/>
      <c r="J25" s="21"/>
    </row>
    <row r="26" spans="1:10">
      <c r="A26" s="25">
        <v>2</v>
      </c>
      <c r="B26" s="4" t="s">
        <v>372</v>
      </c>
      <c r="C26" s="4" t="s">
        <v>339</v>
      </c>
      <c r="D26" s="4" t="s">
        <v>425</v>
      </c>
      <c r="E26" s="5" t="s">
        <v>15</v>
      </c>
      <c r="F26" s="5">
        <v>558</v>
      </c>
      <c r="G26" s="5">
        <v>26</v>
      </c>
    </row>
    <row r="27" spans="1:10">
      <c r="A27" s="25">
        <v>3</v>
      </c>
      <c r="B27" s="4" t="s">
        <v>345</v>
      </c>
      <c r="C27" s="4" t="s">
        <v>339</v>
      </c>
      <c r="D27" s="4" t="s">
        <v>425</v>
      </c>
      <c r="E27" s="5" t="s">
        <v>15</v>
      </c>
      <c r="F27" s="5">
        <v>552</v>
      </c>
      <c r="G27" s="5">
        <v>25</v>
      </c>
    </row>
    <row r="28" spans="1:10" ht="16.5">
      <c r="A28" s="25"/>
      <c r="F28" s="22"/>
    </row>
    <row r="29" spans="1:10" ht="15.75">
      <c r="A29" s="26"/>
      <c r="B29" s="23" t="s">
        <v>398</v>
      </c>
      <c r="C29" s="24" t="s">
        <v>1</v>
      </c>
      <c r="D29" s="24" t="s">
        <v>8</v>
      </c>
      <c r="E29" s="24" t="s">
        <v>4</v>
      </c>
      <c r="F29" s="24" t="s">
        <v>385</v>
      </c>
      <c r="G29" s="23" t="s">
        <v>1020</v>
      </c>
      <c r="H29" s="21"/>
      <c r="I29" s="21"/>
      <c r="J29" s="21"/>
    </row>
    <row r="30" spans="1:10" ht="15.75">
      <c r="A30" s="25">
        <v>1</v>
      </c>
      <c r="B30" s="4" t="s">
        <v>295</v>
      </c>
      <c r="C30" s="4" t="s">
        <v>271</v>
      </c>
      <c r="D30" s="4" t="s">
        <v>425</v>
      </c>
      <c r="E30" s="5" t="s">
        <v>13</v>
      </c>
      <c r="F30" s="5">
        <v>551</v>
      </c>
      <c r="G30" s="5">
        <v>29</v>
      </c>
      <c r="H30" s="21"/>
      <c r="I30" s="21"/>
      <c r="J30" s="21"/>
    </row>
    <row r="31" spans="1:10">
      <c r="A31" s="25">
        <v>2</v>
      </c>
      <c r="B31" s="4" t="s">
        <v>304</v>
      </c>
      <c r="C31" s="4" t="s">
        <v>271</v>
      </c>
      <c r="D31" s="4" t="s">
        <v>425</v>
      </c>
      <c r="E31" s="5" t="s">
        <v>13</v>
      </c>
      <c r="F31" s="5">
        <v>541</v>
      </c>
      <c r="G31" s="5">
        <v>24</v>
      </c>
    </row>
    <row r="32" spans="1:10">
      <c r="A32" s="25">
        <v>3</v>
      </c>
      <c r="B32" s="4" t="s">
        <v>77</v>
      </c>
      <c r="C32" s="4" t="s">
        <v>70</v>
      </c>
      <c r="D32" s="4" t="s">
        <v>425</v>
      </c>
      <c r="E32" s="5" t="s">
        <v>13</v>
      </c>
      <c r="F32" s="5">
        <v>541</v>
      </c>
      <c r="G32" s="5">
        <v>23</v>
      </c>
    </row>
    <row r="33" spans="1:10" ht="16.5">
      <c r="A33" s="18"/>
    </row>
    <row r="34" spans="1:10" ht="16.5">
      <c r="A34" s="27" t="s">
        <v>390</v>
      </c>
    </row>
    <row r="35" spans="1:10" ht="16.5" customHeight="1">
      <c r="B35" s="23" t="s">
        <v>398</v>
      </c>
      <c r="C35" s="24" t="s">
        <v>1</v>
      </c>
      <c r="D35" s="24" t="s">
        <v>8</v>
      </c>
      <c r="E35" s="24" t="s">
        <v>4</v>
      </c>
      <c r="F35" s="24" t="s">
        <v>385</v>
      </c>
      <c r="G35" s="23" t="s">
        <v>1020</v>
      </c>
      <c r="H35" s="21"/>
      <c r="I35" s="21"/>
      <c r="J35" s="21"/>
    </row>
    <row r="36" spans="1:10" ht="15.75">
      <c r="A36" s="25">
        <v>1</v>
      </c>
      <c r="B36" s="4" t="s">
        <v>138</v>
      </c>
      <c r="C36" s="4" t="s">
        <v>128</v>
      </c>
      <c r="D36" s="4" t="s">
        <v>407</v>
      </c>
      <c r="E36" s="5" t="s">
        <v>15</v>
      </c>
      <c r="F36" s="5">
        <v>568</v>
      </c>
      <c r="G36" s="5">
        <v>34</v>
      </c>
      <c r="H36" s="21"/>
      <c r="I36" s="21"/>
      <c r="J36" s="21"/>
    </row>
    <row r="37" spans="1:10">
      <c r="A37" s="25">
        <v>2</v>
      </c>
      <c r="B37" s="4" t="s">
        <v>378</v>
      </c>
      <c r="C37" s="4" t="s">
        <v>339</v>
      </c>
      <c r="D37" s="4" t="s">
        <v>407</v>
      </c>
      <c r="E37" s="5" t="s">
        <v>15</v>
      </c>
      <c r="F37" s="5">
        <v>552</v>
      </c>
      <c r="G37" s="5">
        <v>29</v>
      </c>
    </row>
    <row r="38" spans="1:10">
      <c r="A38" s="25">
        <v>3</v>
      </c>
      <c r="B38" s="4" t="s">
        <v>165</v>
      </c>
      <c r="C38" s="4" t="s">
        <v>128</v>
      </c>
      <c r="D38" s="4" t="s">
        <v>407</v>
      </c>
      <c r="E38" s="5" t="s">
        <v>15</v>
      </c>
      <c r="F38" s="5">
        <v>544</v>
      </c>
      <c r="G38" s="5">
        <v>19</v>
      </c>
    </row>
    <row r="39" spans="1:10" ht="16.5">
      <c r="A39" s="25"/>
      <c r="F39" s="22"/>
    </row>
    <row r="40" spans="1:10" ht="15.75">
      <c r="A40" s="26"/>
      <c r="B40" s="23" t="s">
        <v>398</v>
      </c>
      <c r="C40" s="24" t="s">
        <v>1</v>
      </c>
      <c r="D40" s="24" t="s">
        <v>8</v>
      </c>
      <c r="E40" s="24" t="s">
        <v>4</v>
      </c>
      <c r="F40" s="24" t="s">
        <v>385</v>
      </c>
      <c r="G40" s="23" t="s">
        <v>1020</v>
      </c>
      <c r="H40" s="21"/>
      <c r="I40" s="21"/>
      <c r="J40" s="21"/>
    </row>
    <row r="41" spans="1:10" ht="15.75">
      <c r="A41" s="25">
        <v>1</v>
      </c>
      <c r="B41" s="4" t="s">
        <v>72</v>
      </c>
      <c r="C41" s="4" t="s">
        <v>70</v>
      </c>
      <c r="D41" s="4" t="s">
        <v>407</v>
      </c>
      <c r="E41" s="5" t="s">
        <v>13</v>
      </c>
      <c r="F41" s="5">
        <v>552</v>
      </c>
      <c r="G41" s="5">
        <v>25</v>
      </c>
      <c r="H41" s="21"/>
      <c r="I41" s="21"/>
      <c r="J41" s="21"/>
    </row>
    <row r="42" spans="1:10">
      <c r="A42" s="25">
        <v>2</v>
      </c>
      <c r="B42" s="4" t="s">
        <v>274</v>
      </c>
      <c r="C42" s="4" t="s">
        <v>271</v>
      </c>
      <c r="D42" s="4" t="s">
        <v>407</v>
      </c>
      <c r="E42" s="5" t="s">
        <v>13</v>
      </c>
      <c r="F42" s="5">
        <v>543</v>
      </c>
      <c r="G42" s="5">
        <v>20</v>
      </c>
    </row>
    <row r="43" spans="1:10">
      <c r="A43" s="25">
        <v>3</v>
      </c>
      <c r="B43" s="4" t="s">
        <v>368</v>
      </c>
      <c r="C43" s="4" t="s">
        <v>339</v>
      </c>
      <c r="D43" s="4" t="s">
        <v>407</v>
      </c>
      <c r="E43" s="5" t="s">
        <v>13</v>
      </c>
      <c r="F43" s="5">
        <v>541</v>
      </c>
      <c r="G43" s="5">
        <v>21</v>
      </c>
    </row>
    <row r="44" spans="1:10" ht="16.5">
      <c r="A44" s="18"/>
    </row>
    <row r="45" spans="1:10" ht="16.5">
      <c r="A45" s="27" t="s">
        <v>391</v>
      </c>
    </row>
    <row r="46" spans="1:10" ht="16.5" customHeight="1">
      <c r="B46" s="23" t="s">
        <v>398</v>
      </c>
      <c r="C46" s="24" t="s">
        <v>1</v>
      </c>
      <c r="D46" s="24" t="s">
        <v>8</v>
      </c>
      <c r="E46" s="24" t="s">
        <v>4</v>
      </c>
      <c r="F46" s="24" t="s">
        <v>385</v>
      </c>
      <c r="G46" s="23" t="s">
        <v>1020</v>
      </c>
      <c r="H46" s="21"/>
      <c r="I46" s="21"/>
      <c r="J46" s="21"/>
    </row>
    <row r="47" spans="1:10" ht="15.75">
      <c r="A47" s="25">
        <v>1</v>
      </c>
      <c r="B47" s="4" t="s">
        <v>113</v>
      </c>
      <c r="C47" s="4" t="s">
        <v>83</v>
      </c>
      <c r="D47" s="4" t="s">
        <v>414</v>
      </c>
      <c r="E47" s="5" t="s">
        <v>15</v>
      </c>
      <c r="F47" s="5">
        <v>564</v>
      </c>
      <c r="G47" s="5">
        <v>32</v>
      </c>
      <c r="H47" s="21"/>
      <c r="I47" s="21"/>
      <c r="J47" s="21"/>
    </row>
    <row r="48" spans="1:10">
      <c r="A48" s="25">
        <v>2</v>
      </c>
      <c r="B48" s="4" t="s">
        <v>98</v>
      </c>
      <c r="C48" s="4" t="s">
        <v>83</v>
      </c>
      <c r="D48" s="4" t="s">
        <v>414</v>
      </c>
      <c r="E48" s="5" t="s">
        <v>15</v>
      </c>
      <c r="F48" s="5">
        <v>558</v>
      </c>
      <c r="G48" s="5">
        <v>29</v>
      </c>
    </row>
    <row r="49" spans="1:10">
      <c r="A49" s="25">
        <v>3</v>
      </c>
      <c r="B49" s="4" t="s">
        <v>151</v>
      </c>
      <c r="C49" s="4" t="s">
        <v>128</v>
      </c>
      <c r="D49" s="4" t="s">
        <v>414</v>
      </c>
      <c r="E49" s="5" t="s">
        <v>15</v>
      </c>
      <c r="F49" s="5">
        <v>554</v>
      </c>
      <c r="G49" s="5">
        <v>27</v>
      </c>
    </row>
    <row r="50" spans="1:10" ht="16.5">
      <c r="A50" s="25"/>
      <c r="F50" s="22"/>
    </row>
    <row r="51" spans="1:10" ht="15.75">
      <c r="A51" s="26"/>
      <c r="B51" s="23" t="s">
        <v>398</v>
      </c>
      <c r="C51" s="24" t="s">
        <v>1</v>
      </c>
      <c r="D51" s="24" t="s">
        <v>8</v>
      </c>
      <c r="E51" s="24" t="s">
        <v>4</v>
      </c>
      <c r="F51" s="24" t="s">
        <v>385</v>
      </c>
      <c r="G51" s="23" t="s">
        <v>1020</v>
      </c>
      <c r="H51" s="21"/>
      <c r="I51" s="21"/>
      <c r="J51" s="21"/>
    </row>
    <row r="52" spans="1:10" ht="15.75">
      <c r="A52" s="25">
        <v>1</v>
      </c>
      <c r="B52" s="4" t="s">
        <v>95</v>
      </c>
      <c r="C52" s="4" t="s">
        <v>83</v>
      </c>
      <c r="D52" s="4" t="s">
        <v>414</v>
      </c>
      <c r="E52" s="5" t="s">
        <v>13</v>
      </c>
      <c r="F52" s="5">
        <v>567</v>
      </c>
      <c r="G52" s="5">
        <v>31</v>
      </c>
      <c r="H52" s="21"/>
      <c r="I52" s="21"/>
      <c r="J52" s="21"/>
    </row>
    <row r="53" spans="1:10">
      <c r="A53" s="25">
        <v>2</v>
      </c>
      <c r="B53" s="4" t="s">
        <v>57</v>
      </c>
      <c r="C53" s="4" t="s">
        <v>23</v>
      </c>
      <c r="D53" s="4" t="s">
        <v>414</v>
      </c>
      <c r="E53" s="5" t="s">
        <v>13</v>
      </c>
      <c r="F53" s="5">
        <v>546</v>
      </c>
      <c r="G53" s="5">
        <v>24</v>
      </c>
    </row>
    <row r="54" spans="1:10">
      <c r="A54" s="25">
        <v>3</v>
      </c>
      <c r="B54" s="4" t="s">
        <v>28</v>
      </c>
      <c r="C54" s="4" t="s">
        <v>23</v>
      </c>
      <c r="D54" s="4" t="s">
        <v>414</v>
      </c>
      <c r="E54" s="5" t="s">
        <v>13</v>
      </c>
      <c r="F54" s="5">
        <v>538</v>
      </c>
      <c r="G54" s="5">
        <v>18</v>
      </c>
    </row>
    <row r="55" spans="1:10" ht="16.5">
      <c r="A55" s="18"/>
    </row>
    <row r="56" spans="1:10" ht="16.5">
      <c r="A56" s="27" t="s">
        <v>392</v>
      </c>
    </row>
    <row r="57" spans="1:10" ht="15.75">
      <c r="B57" s="23" t="s">
        <v>398</v>
      </c>
      <c r="C57" s="24" t="s">
        <v>1</v>
      </c>
      <c r="D57" s="24" t="s">
        <v>8</v>
      </c>
      <c r="E57" s="24" t="s">
        <v>4</v>
      </c>
      <c r="F57" s="30" t="s">
        <v>385</v>
      </c>
      <c r="G57" s="31" t="s">
        <v>1020</v>
      </c>
      <c r="H57" s="21"/>
      <c r="I57" s="21"/>
      <c r="J57" s="21"/>
    </row>
    <row r="58" spans="1:10" ht="15.75">
      <c r="A58" s="25">
        <v>1</v>
      </c>
      <c r="B58" s="4" t="s">
        <v>108</v>
      </c>
      <c r="C58" s="4" t="s">
        <v>83</v>
      </c>
      <c r="D58" s="4" t="s">
        <v>417</v>
      </c>
      <c r="E58" s="5" t="s">
        <v>15</v>
      </c>
      <c r="F58" s="5">
        <v>553</v>
      </c>
      <c r="G58" s="5">
        <v>28</v>
      </c>
      <c r="H58" s="21"/>
      <c r="I58" s="21"/>
      <c r="J58" s="21"/>
    </row>
    <row r="59" spans="1:10">
      <c r="A59" s="25">
        <v>2</v>
      </c>
      <c r="B59" s="29" t="s">
        <v>84</v>
      </c>
      <c r="C59" s="29" t="s">
        <v>83</v>
      </c>
      <c r="D59" s="29" t="s">
        <v>417</v>
      </c>
      <c r="E59" s="16" t="s">
        <v>15</v>
      </c>
      <c r="F59" s="28">
        <v>553</v>
      </c>
      <c r="G59" s="16">
        <v>24</v>
      </c>
    </row>
    <row r="60" spans="1:10">
      <c r="A60" s="25">
        <v>3</v>
      </c>
      <c r="B60" s="29" t="s">
        <v>170</v>
      </c>
      <c r="C60" s="29" t="s">
        <v>128</v>
      </c>
      <c r="D60" s="29" t="s">
        <v>417</v>
      </c>
      <c r="E60" s="16" t="s">
        <v>15</v>
      </c>
      <c r="F60" s="28">
        <v>551</v>
      </c>
      <c r="G60" s="16">
        <v>27</v>
      </c>
    </row>
    <row r="61" spans="1:10" ht="16.5">
      <c r="A61" s="25"/>
      <c r="F61" s="22"/>
    </row>
    <row r="62" spans="1:10" ht="15.75">
      <c r="A62" s="26"/>
      <c r="B62" s="23" t="s">
        <v>398</v>
      </c>
      <c r="C62" s="24" t="s">
        <v>1</v>
      </c>
      <c r="D62" s="24" t="s">
        <v>8</v>
      </c>
      <c r="E62" s="24" t="s">
        <v>4</v>
      </c>
      <c r="F62" s="24" t="s">
        <v>385</v>
      </c>
      <c r="G62" s="23" t="s">
        <v>1020</v>
      </c>
      <c r="H62" s="21"/>
      <c r="I62" s="21"/>
      <c r="J62" s="21"/>
    </row>
    <row r="63" spans="1:10" ht="15.75">
      <c r="A63" s="25">
        <v>1</v>
      </c>
      <c r="B63" s="4" t="s">
        <v>93</v>
      </c>
      <c r="C63" s="4" t="s">
        <v>83</v>
      </c>
      <c r="D63" s="4" t="s">
        <v>417</v>
      </c>
      <c r="E63" s="5" t="s">
        <v>13</v>
      </c>
      <c r="F63" s="5">
        <v>566</v>
      </c>
      <c r="G63" s="5">
        <v>35</v>
      </c>
      <c r="H63" s="21"/>
      <c r="I63" s="21"/>
      <c r="J63" s="21"/>
    </row>
    <row r="64" spans="1:10">
      <c r="A64" s="25">
        <v>2</v>
      </c>
      <c r="B64" s="4" t="s">
        <v>86</v>
      </c>
      <c r="C64" s="4" t="s">
        <v>83</v>
      </c>
      <c r="D64" s="4" t="s">
        <v>417</v>
      </c>
      <c r="E64" s="5" t="s">
        <v>13</v>
      </c>
      <c r="F64" s="5">
        <v>551</v>
      </c>
      <c r="G64" s="5">
        <v>26</v>
      </c>
    </row>
    <row r="65" spans="1:10">
      <c r="A65" s="25">
        <v>3</v>
      </c>
      <c r="B65" s="4" t="s">
        <v>116</v>
      </c>
      <c r="C65" s="4" t="s">
        <v>83</v>
      </c>
      <c r="D65" s="4" t="s">
        <v>417</v>
      </c>
      <c r="E65" s="5" t="s">
        <v>13</v>
      </c>
      <c r="F65" s="5">
        <v>550</v>
      </c>
      <c r="G65" s="5">
        <v>29</v>
      </c>
    </row>
    <row r="66" spans="1:10" ht="16.5">
      <c r="A66" s="22"/>
      <c r="F66" s="22"/>
    </row>
    <row r="67" spans="1:10" ht="16.5">
      <c r="A67" s="27" t="s">
        <v>393</v>
      </c>
    </row>
    <row r="68" spans="1:10" ht="15.75">
      <c r="B68" s="23" t="s">
        <v>398</v>
      </c>
      <c r="C68" s="24" t="s">
        <v>1</v>
      </c>
      <c r="D68" s="24" t="s">
        <v>8</v>
      </c>
      <c r="E68" s="24" t="s">
        <v>4</v>
      </c>
      <c r="F68" s="24" t="s">
        <v>385</v>
      </c>
      <c r="G68" s="23" t="s">
        <v>1020</v>
      </c>
      <c r="H68" s="21"/>
      <c r="I68" s="21"/>
      <c r="J68" s="21"/>
    </row>
    <row r="69" spans="1:10">
      <c r="A69" s="25">
        <v>1</v>
      </c>
      <c r="B69" s="4" t="s">
        <v>87</v>
      </c>
      <c r="C69" s="4" t="s">
        <v>83</v>
      </c>
      <c r="D69" s="4" t="s">
        <v>449</v>
      </c>
      <c r="E69" s="5" t="s">
        <v>15</v>
      </c>
      <c r="F69" s="5">
        <v>520</v>
      </c>
      <c r="G69" s="5">
        <v>17</v>
      </c>
    </row>
    <row r="70" spans="1:10">
      <c r="A70" s="25">
        <v>2</v>
      </c>
      <c r="B70" s="4" t="s">
        <v>47</v>
      </c>
      <c r="C70" s="4" t="s">
        <v>23</v>
      </c>
      <c r="D70" s="4" t="s">
        <v>449</v>
      </c>
      <c r="E70" s="5" t="s">
        <v>15</v>
      </c>
      <c r="F70" s="5">
        <v>508</v>
      </c>
      <c r="G70" s="5">
        <v>9</v>
      </c>
    </row>
    <row r="71" spans="1:10">
      <c r="A71" s="25">
        <v>3</v>
      </c>
      <c r="B71" s="4" t="s">
        <v>44</v>
      </c>
      <c r="C71" s="4" t="s">
        <v>23</v>
      </c>
      <c r="D71" s="4" t="s">
        <v>449</v>
      </c>
      <c r="E71" s="5" t="s">
        <v>15</v>
      </c>
      <c r="F71" s="5">
        <v>505</v>
      </c>
      <c r="G71" s="5">
        <v>11</v>
      </c>
    </row>
    <row r="72" spans="1:10" ht="16.5">
      <c r="A72" s="25"/>
      <c r="F72" s="22"/>
    </row>
    <row r="73" spans="1:10" ht="15.75">
      <c r="A73" s="26"/>
      <c r="B73" s="23" t="s">
        <v>398</v>
      </c>
      <c r="C73" s="24" t="s">
        <v>1</v>
      </c>
      <c r="D73" s="24" t="s">
        <v>8</v>
      </c>
      <c r="E73" s="24" t="s">
        <v>4</v>
      </c>
      <c r="F73" s="24" t="s">
        <v>385</v>
      </c>
      <c r="G73" s="23" t="s">
        <v>1020</v>
      </c>
      <c r="H73" s="21"/>
      <c r="I73" s="21"/>
      <c r="J73" s="21"/>
    </row>
    <row r="74" spans="1:10" ht="15.75">
      <c r="A74" s="25">
        <v>1</v>
      </c>
      <c r="B74" s="4" t="s">
        <v>61</v>
      </c>
      <c r="C74" s="4" t="s">
        <v>23</v>
      </c>
      <c r="D74" s="4" t="s">
        <v>449</v>
      </c>
      <c r="E74" s="5" t="s">
        <v>13</v>
      </c>
      <c r="F74" s="5">
        <v>571</v>
      </c>
      <c r="G74" s="5">
        <v>37</v>
      </c>
      <c r="H74" s="21"/>
      <c r="I74" s="21"/>
      <c r="J74" s="21"/>
    </row>
    <row r="75" spans="1:10">
      <c r="A75" s="25">
        <v>2</v>
      </c>
      <c r="B75" s="4" t="s">
        <v>196</v>
      </c>
      <c r="C75" s="4" t="s">
        <v>186</v>
      </c>
      <c r="D75" s="4" t="s">
        <v>449</v>
      </c>
      <c r="E75" s="5" t="s">
        <v>13</v>
      </c>
      <c r="F75" s="5">
        <v>544</v>
      </c>
      <c r="G75" s="5">
        <v>25</v>
      </c>
    </row>
    <row r="76" spans="1:10">
      <c r="A76" s="25">
        <v>3</v>
      </c>
      <c r="B76" s="4" t="s">
        <v>33</v>
      </c>
      <c r="C76" s="4" t="s">
        <v>23</v>
      </c>
      <c r="D76" s="4" t="s">
        <v>449</v>
      </c>
      <c r="E76" s="5" t="s">
        <v>13</v>
      </c>
      <c r="F76" s="5">
        <v>541</v>
      </c>
      <c r="G76" s="5">
        <v>22</v>
      </c>
    </row>
    <row r="77" spans="1:10" ht="16.5">
      <c r="A77" s="18"/>
    </row>
    <row r="78" spans="1:10" ht="16.5">
      <c r="A78" s="27" t="s">
        <v>394</v>
      </c>
    </row>
    <row r="79" spans="1:10" ht="15.75">
      <c r="B79" s="23" t="s">
        <v>398</v>
      </c>
      <c r="C79" s="24" t="s">
        <v>1</v>
      </c>
      <c r="D79" s="24" t="s">
        <v>8</v>
      </c>
      <c r="E79" s="24" t="s">
        <v>4</v>
      </c>
      <c r="F79" s="24" t="s">
        <v>385</v>
      </c>
      <c r="G79" s="23" t="s">
        <v>1020</v>
      </c>
      <c r="H79" s="21"/>
      <c r="I79" s="21"/>
      <c r="J79" s="21"/>
    </row>
    <row r="80" spans="1:10" ht="15.75">
      <c r="A80" s="25">
        <v>1</v>
      </c>
      <c r="B80" s="4" t="s">
        <v>99</v>
      </c>
      <c r="C80" s="4" t="s">
        <v>83</v>
      </c>
      <c r="D80" s="4" t="s">
        <v>446</v>
      </c>
      <c r="E80" s="5" t="s">
        <v>15</v>
      </c>
      <c r="F80" s="5">
        <v>547</v>
      </c>
      <c r="G80" s="5">
        <v>23</v>
      </c>
      <c r="H80" s="21"/>
      <c r="I80" s="21"/>
      <c r="J80" s="21"/>
    </row>
    <row r="81" spans="1:10">
      <c r="A81" s="25">
        <v>2</v>
      </c>
      <c r="B81" s="4" t="s">
        <v>54</v>
      </c>
      <c r="C81" s="4" t="s">
        <v>23</v>
      </c>
      <c r="D81" s="4" t="s">
        <v>446</v>
      </c>
      <c r="E81" s="5" t="s">
        <v>15</v>
      </c>
      <c r="F81" s="5">
        <v>518</v>
      </c>
      <c r="G81" s="5">
        <v>12</v>
      </c>
    </row>
    <row r="82" spans="1:10">
      <c r="A82" s="25">
        <v>3</v>
      </c>
      <c r="B82" s="4" t="s">
        <v>35</v>
      </c>
      <c r="C82" s="4" t="s">
        <v>23</v>
      </c>
      <c r="D82" s="4" t="s">
        <v>446</v>
      </c>
      <c r="E82" s="5" t="s">
        <v>15</v>
      </c>
      <c r="F82" s="5">
        <v>518</v>
      </c>
      <c r="G82" s="5">
        <v>12</v>
      </c>
    </row>
    <row r="83" spans="1:10" ht="16.5">
      <c r="A83" s="25"/>
      <c r="F83" s="22"/>
    </row>
    <row r="84" spans="1:10" ht="15.75">
      <c r="A84" s="26"/>
      <c r="B84" s="23" t="s">
        <v>398</v>
      </c>
      <c r="C84" s="24" t="s">
        <v>1</v>
      </c>
      <c r="D84" s="24" t="s">
        <v>8</v>
      </c>
      <c r="E84" s="24" t="s">
        <v>4</v>
      </c>
      <c r="F84" s="24" t="s">
        <v>385</v>
      </c>
      <c r="G84" s="23" t="s">
        <v>1020</v>
      </c>
      <c r="H84" s="21"/>
      <c r="I84" s="21"/>
      <c r="J84" s="21"/>
    </row>
    <row r="85" spans="1:10" ht="15.75">
      <c r="A85" s="25">
        <v>1</v>
      </c>
      <c r="B85" s="4" t="s">
        <v>29</v>
      </c>
      <c r="C85" s="4" t="s">
        <v>23</v>
      </c>
      <c r="D85" s="4" t="s">
        <v>446</v>
      </c>
      <c r="E85" s="5" t="s">
        <v>13</v>
      </c>
      <c r="F85" s="5">
        <v>542</v>
      </c>
      <c r="G85" s="5">
        <v>18</v>
      </c>
      <c r="H85" s="21"/>
      <c r="I85" s="21"/>
      <c r="J85" s="21"/>
    </row>
    <row r="86" spans="1:10">
      <c r="A86" s="25">
        <v>2</v>
      </c>
      <c r="B86" s="4" t="s">
        <v>32</v>
      </c>
      <c r="C86" s="4" t="s">
        <v>23</v>
      </c>
      <c r="D86" s="4" t="s">
        <v>446</v>
      </c>
      <c r="E86" s="5" t="s">
        <v>13</v>
      </c>
      <c r="F86" s="5">
        <v>501</v>
      </c>
      <c r="G86" s="5">
        <v>15</v>
      </c>
    </row>
    <row r="87" spans="1:10">
      <c r="A87" s="25">
        <v>3</v>
      </c>
      <c r="B87" s="4" t="s">
        <v>60</v>
      </c>
      <c r="C87" s="4" t="s">
        <v>23</v>
      </c>
      <c r="D87" s="4" t="s">
        <v>446</v>
      </c>
      <c r="E87" s="5" t="s">
        <v>13</v>
      </c>
      <c r="F87" s="5">
        <v>499</v>
      </c>
      <c r="G87" s="5">
        <v>9</v>
      </c>
    </row>
    <row r="88" spans="1:10" ht="16.5">
      <c r="A88" s="18"/>
    </row>
    <row r="89" spans="1:10" ht="16.5">
      <c r="A89" s="27" t="s">
        <v>395</v>
      </c>
    </row>
    <row r="90" spans="1:10">
      <c r="B90" s="6" t="s">
        <v>61</v>
      </c>
      <c r="C90" s="6" t="s">
        <v>23</v>
      </c>
      <c r="D90" s="6" t="s">
        <v>449</v>
      </c>
      <c r="E90" s="16" t="s">
        <v>13</v>
      </c>
      <c r="F90" s="16">
        <v>571</v>
      </c>
      <c r="G90" s="16">
        <v>37</v>
      </c>
    </row>
    <row r="91" spans="1:10">
      <c r="B91" s="6" t="s">
        <v>113</v>
      </c>
      <c r="C91" s="6" t="s">
        <v>83</v>
      </c>
      <c r="D91" s="6" t="s">
        <v>414</v>
      </c>
      <c r="E91" s="16" t="s">
        <v>15</v>
      </c>
      <c r="F91" s="16">
        <v>564</v>
      </c>
      <c r="G91" s="16">
        <v>32</v>
      </c>
    </row>
    <row r="93" spans="1:10" ht="16.5">
      <c r="A93" s="17" t="s">
        <v>396</v>
      </c>
    </row>
    <row r="94" spans="1:10">
      <c r="A94" s="19"/>
    </row>
    <row r="95" spans="1:10" ht="16.5">
      <c r="A95" s="18" t="s">
        <v>397</v>
      </c>
    </row>
    <row r="97" spans="2:3">
      <c r="B97" s="26" t="s">
        <v>1024</v>
      </c>
      <c r="C97" s="26"/>
    </row>
    <row r="98" spans="2:3">
      <c r="B98" t="s">
        <v>1032</v>
      </c>
      <c r="C98" s="11">
        <v>6064</v>
      </c>
    </row>
    <row r="99" spans="2:3">
      <c r="B99" t="s">
        <v>23</v>
      </c>
      <c r="C99" s="11">
        <v>6442</v>
      </c>
    </row>
    <row r="100" spans="2:3">
      <c r="B100" t="s">
        <v>1025</v>
      </c>
      <c r="C100" s="34">
        <v>6641</v>
      </c>
    </row>
    <row r="101" spans="2:3">
      <c r="C101" s="11"/>
    </row>
    <row r="102" spans="2:3">
      <c r="B102" s="26" t="s">
        <v>1026</v>
      </c>
      <c r="C102" s="11"/>
    </row>
    <row r="103" spans="2:3">
      <c r="B103" t="s">
        <v>1033</v>
      </c>
      <c r="C103" s="11">
        <v>6262</v>
      </c>
    </row>
    <row r="104" spans="2:3">
      <c r="B104" t="s">
        <v>1030</v>
      </c>
      <c r="C104" s="11">
        <v>6392</v>
      </c>
    </row>
    <row r="105" spans="2:3">
      <c r="B105" t="s">
        <v>1031</v>
      </c>
      <c r="C105" s="34">
        <v>6469</v>
      </c>
    </row>
    <row r="106" spans="2:3">
      <c r="B106" t="s">
        <v>1034</v>
      </c>
      <c r="C106" s="11">
        <v>6229</v>
      </c>
    </row>
    <row r="107" spans="2:3">
      <c r="C107" s="11"/>
    </row>
    <row r="108" spans="2:3">
      <c r="B108" s="26" t="s">
        <v>1027</v>
      </c>
      <c r="C108" s="11"/>
    </row>
    <row r="109" spans="2:3">
      <c r="B109" t="s">
        <v>1028</v>
      </c>
      <c r="C109" s="11">
        <v>4895</v>
      </c>
    </row>
    <row r="110" spans="2:3">
      <c r="B110" t="s">
        <v>1029</v>
      </c>
      <c r="C110" s="34">
        <v>6304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ED90-CE3C-4C45-88EE-E132FCB4C53F}">
  <dimension ref="A1:H358"/>
  <sheetViews>
    <sheetView topLeftCell="A319" workbookViewId="0">
      <selection activeCell="H329" sqref="H329"/>
    </sheetView>
  </sheetViews>
  <sheetFormatPr defaultRowHeight="15"/>
  <cols>
    <col min="2" max="3" width="18" customWidth="1"/>
  </cols>
  <sheetData>
    <row r="1" spans="1:8">
      <c r="A1" s="3" t="s">
        <v>7</v>
      </c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>
      <c r="A2" s="6">
        <v>10001</v>
      </c>
      <c r="B2" s="4" t="s">
        <v>11</v>
      </c>
      <c r="C2" s="4" t="s">
        <v>12</v>
      </c>
      <c r="D2" s="5">
        <v>226</v>
      </c>
      <c r="E2" s="5">
        <v>2</v>
      </c>
      <c r="F2" s="5" t="s">
        <v>13</v>
      </c>
      <c r="G2" s="5">
        <v>123</v>
      </c>
      <c r="H2" s="5">
        <v>103</v>
      </c>
    </row>
    <row r="3" spans="1:8">
      <c r="A3" s="6">
        <v>10002</v>
      </c>
      <c r="B3" s="4" t="s">
        <v>14</v>
      </c>
      <c r="C3" s="4" t="s">
        <v>12</v>
      </c>
      <c r="D3" s="5">
        <v>270</v>
      </c>
      <c r="E3" s="5">
        <v>11</v>
      </c>
      <c r="F3" s="5" t="s">
        <v>15</v>
      </c>
      <c r="G3" s="5">
        <v>140</v>
      </c>
      <c r="H3" s="5">
        <v>130</v>
      </c>
    </row>
    <row r="4" spans="1:8">
      <c r="A4" s="6">
        <v>10003</v>
      </c>
      <c r="B4" s="4" t="s">
        <v>16</v>
      </c>
      <c r="C4" s="4" t="s">
        <v>12</v>
      </c>
      <c r="D4" s="5">
        <v>241</v>
      </c>
      <c r="E4" s="5">
        <v>2</v>
      </c>
      <c r="F4" s="5" t="s">
        <v>13</v>
      </c>
      <c r="G4" s="5">
        <v>128</v>
      </c>
      <c r="H4" s="5">
        <v>113</v>
      </c>
    </row>
    <row r="5" spans="1:8">
      <c r="A5" s="6">
        <v>10004</v>
      </c>
      <c r="B5" s="4" t="s">
        <v>17</v>
      </c>
      <c r="C5" s="4" t="s">
        <v>12</v>
      </c>
      <c r="D5" s="5">
        <v>248</v>
      </c>
      <c r="E5" s="5">
        <v>6</v>
      </c>
      <c r="F5" s="5" t="s">
        <v>15</v>
      </c>
      <c r="G5" s="5">
        <v>129</v>
      </c>
      <c r="H5" s="5">
        <v>119</v>
      </c>
    </row>
    <row r="6" spans="1:8">
      <c r="A6" s="6">
        <v>10005</v>
      </c>
      <c r="B6" s="4" t="s">
        <v>18</v>
      </c>
      <c r="C6" s="4" t="s">
        <v>12</v>
      </c>
      <c r="D6" s="5">
        <v>219</v>
      </c>
      <c r="E6" s="5">
        <v>5</v>
      </c>
      <c r="F6" s="5" t="s">
        <v>13</v>
      </c>
      <c r="G6" s="5">
        <v>116</v>
      </c>
      <c r="H6" s="5">
        <v>103</v>
      </c>
    </row>
    <row r="7" spans="1:8">
      <c r="A7" s="6">
        <v>10006</v>
      </c>
      <c r="B7" s="4" t="s">
        <v>19</v>
      </c>
      <c r="C7" s="4" t="s">
        <v>12</v>
      </c>
      <c r="D7" s="5">
        <v>203</v>
      </c>
      <c r="E7" s="5">
        <v>1</v>
      </c>
      <c r="F7" s="5" t="s">
        <v>13</v>
      </c>
      <c r="G7" s="5">
        <v>110</v>
      </c>
      <c r="H7" s="5">
        <v>93</v>
      </c>
    </row>
    <row r="8" spans="1:8">
      <c r="A8" s="6">
        <v>10007</v>
      </c>
      <c r="B8" s="4" t="s">
        <v>20</v>
      </c>
      <c r="C8" s="4" t="s">
        <v>12</v>
      </c>
      <c r="D8" s="5">
        <v>261</v>
      </c>
      <c r="E8" s="5">
        <v>8</v>
      </c>
      <c r="F8" s="5" t="s">
        <v>13</v>
      </c>
      <c r="G8" s="5">
        <v>134</v>
      </c>
      <c r="H8" s="5">
        <v>127</v>
      </c>
    </row>
    <row r="9" spans="1:8">
      <c r="A9" s="6">
        <v>10008</v>
      </c>
      <c r="B9" s="4" t="s">
        <v>21</v>
      </c>
      <c r="C9" s="4" t="s">
        <v>12</v>
      </c>
      <c r="D9" s="5">
        <v>219</v>
      </c>
      <c r="E9" s="5">
        <v>2</v>
      </c>
      <c r="F9" s="5" t="s">
        <v>13</v>
      </c>
      <c r="G9" s="5">
        <v>124</v>
      </c>
      <c r="H9" s="5">
        <v>95</v>
      </c>
    </row>
    <row r="10" spans="1:8">
      <c r="A10" s="6">
        <v>11001</v>
      </c>
      <c r="B10" s="4" t="s">
        <v>22</v>
      </c>
      <c r="C10" s="4" t="s">
        <v>23</v>
      </c>
      <c r="D10" s="5">
        <v>248</v>
      </c>
      <c r="E10" s="5">
        <v>9</v>
      </c>
      <c r="F10" s="5" t="s">
        <v>13</v>
      </c>
      <c r="G10" s="5">
        <v>138</v>
      </c>
      <c r="H10" s="5">
        <v>110</v>
      </c>
    </row>
    <row r="11" spans="1:8">
      <c r="A11" s="6">
        <v>11002</v>
      </c>
      <c r="B11" s="4" t="s">
        <v>24</v>
      </c>
      <c r="C11" s="4" t="s">
        <v>23</v>
      </c>
      <c r="D11" s="5">
        <v>269</v>
      </c>
      <c r="E11" s="5">
        <v>8</v>
      </c>
      <c r="F11" s="5" t="s">
        <v>15</v>
      </c>
      <c r="G11" s="5">
        <v>133</v>
      </c>
      <c r="H11" s="5">
        <v>136</v>
      </c>
    </row>
    <row r="12" spans="1:8">
      <c r="A12" s="6">
        <v>11003</v>
      </c>
      <c r="B12" s="4" t="s">
        <v>25</v>
      </c>
      <c r="C12" s="4" t="s">
        <v>23</v>
      </c>
      <c r="D12" s="5" t="e">
        <v>#N/A</v>
      </c>
      <c r="E12" s="5" t="e">
        <v>#N/A</v>
      </c>
      <c r="F12" s="5" t="s">
        <v>15</v>
      </c>
      <c r="G12" s="5" t="e">
        <v>#N/A</v>
      </c>
      <c r="H12" s="5" t="e">
        <v>#N/A</v>
      </c>
    </row>
    <row r="13" spans="1:8">
      <c r="A13" s="6">
        <v>11004</v>
      </c>
      <c r="B13" s="4" t="s">
        <v>26</v>
      </c>
      <c r="C13" s="4" t="s">
        <v>23</v>
      </c>
      <c r="D13" s="5">
        <v>278</v>
      </c>
      <c r="E13" s="5">
        <v>15</v>
      </c>
      <c r="F13" s="5" t="s">
        <v>13</v>
      </c>
      <c r="G13" s="5">
        <v>142</v>
      </c>
      <c r="H13" s="5">
        <v>136</v>
      </c>
    </row>
    <row r="14" spans="1:8">
      <c r="A14" s="6">
        <v>11005</v>
      </c>
      <c r="B14" s="4" t="s">
        <v>27</v>
      </c>
      <c r="C14" s="4" t="s">
        <v>23</v>
      </c>
      <c r="D14" s="5">
        <v>245</v>
      </c>
      <c r="E14" s="5">
        <v>5</v>
      </c>
      <c r="F14" s="5" t="s">
        <v>13</v>
      </c>
      <c r="G14" s="5">
        <v>132</v>
      </c>
      <c r="H14" s="5">
        <v>113</v>
      </c>
    </row>
    <row r="15" spans="1:8">
      <c r="A15" s="6">
        <v>11006</v>
      </c>
      <c r="B15" s="4" t="s">
        <v>28</v>
      </c>
      <c r="C15" s="4" t="s">
        <v>23</v>
      </c>
      <c r="D15" s="5">
        <v>273</v>
      </c>
      <c r="E15" s="5">
        <v>13</v>
      </c>
      <c r="F15" s="5" t="s">
        <v>13</v>
      </c>
      <c r="G15" s="5">
        <v>139</v>
      </c>
      <c r="H15" s="5">
        <v>134</v>
      </c>
    </row>
    <row r="16" spans="1:8">
      <c r="A16" s="6">
        <v>11007</v>
      </c>
      <c r="B16" s="4" t="s">
        <v>29</v>
      </c>
      <c r="C16" s="4" t="s">
        <v>23</v>
      </c>
      <c r="D16" s="5">
        <v>270</v>
      </c>
      <c r="E16" s="5">
        <v>10</v>
      </c>
      <c r="F16" s="5" t="s">
        <v>13</v>
      </c>
      <c r="G16" s="5">
        <v>142</v>
      </c>
      <c r="H16" s="5">
        <v>128</v>
      </c>
    </row>
    <row r="17" spans="1:8">
      <c r="A17" s="6">
        <v>11008</v>
      </c>
      <c r="B17" s="4" t="s">
        <v>30</v>
      </c>
      <c r="C17" s="4" t="s">
        <v>23</v>
      </c>
      <c r="D17" s="5">
        <v>241</v>
      </c>
      <c r="E17" s="5">
        <v>3</v>
      </c>
      <c r="F17" s="5" t="s">
        <v>13</v>
      </c>
      <c r="G17" s="5">
        <v>126</v>
      </c>
      <c r="H17" s="5">
        <v>115</v>
      </c>
    </row>
    <row r="18" spans="1:8">
      <c r="A18" s="6">
        <v>11009</v>
      </c>
      <c r="B18" s="4" t="s">
        <v>31</v>
      </c>
      <c r="C18" s="4" t="s">
        <v>23</v>
      </c>
      <c r="D18" s="5">
        <v>241</v>
      </c>
      <c r="E18" s="5">
        <v>2</v>
      </c>
      <c r="F18" s="5" t="s">
        <v>15</v>
      </c>
      <c r="G18" s="5">
        <v>123</v>
      </c>
      <c r="H18" s="5">
        <v>118</v>
      </c>
    </row>
    <row r="19" spans="1:8">
      <c r="A19" s="6">
        <v>11010</v>
      </c>
      <c r="B19" s="4" t="s">
        <v>32</v>
      </c>
      <c r="C19" s="4" t="s">
        <v>23</v>
      </c>
      <c r="D19" s="5">
        <v>240</v>
      </c>
      <c r="E19" s="5">
        <v>10</v>
      </c>
      <c r="F19" s="5" t="s">
        <v>13</v>
      </c>
      <c r="G19" s="5">
        <v>128</v>
      </c>
      <c r="H19" s="5">
        <v>112</v>
      </c>
    </row>
    <row r="20" spans="1:8">
      <c r="A20" s="6">
        <v>11011</v>
      </c>
      <c r="B20" s="4" t="s">
        <v>33</v>
      </c>
      <c r="C20" s="4" t="s">
        <v>23</v>
      </c>
      <c r="D20" s="5">
        <v>270</v>
      </c>
      <c r="E20" s="5">
        <v>10</v>
      </c>
      <c r="F20" s="5" t="s">
        <v>13</v>
      </c>
      <c r="G20" s="5">
        <v>137</v>
      </c>
      <c r="H20" s="5">
        <v>133</v>
      </c>
    </row>
    <row r="21" spans="1:8">
      <c r="A21" s="6">
        <v>11012</v>
      </c>
      <c r="B21" s="4" t="s">
        <v>34</v>
      </c>
      <c r="C21" s="4" t="s">
        <v>23</v>
      </c>
      <c r="D21" s="5">
        <v>215</v>
      </c>
      <c r="E21" s="5">
        <v>3</v>
      </c>
      <c r="F21" s="5" t="s">
        <v>13</v>
      </c>
      <c r="G21" s="5">
        <v>121</v>
      </c>
      <c r="H21" s="5">
        <v>94</v>
      </c>
    </row>
    <row r="22" spans="1:8">
      <c r="A22" s="6">
        <v>11013</v>
      </c>
      <c r="B22" s="4" t="s">
        <v>35</v>
      </c>
      <c r="C22" s="4" t="s">
        <v>23</v>
      </c>
      <c r="D22" s="5">
        <v>249</v>
      </c>
      <c r="E22" s="5">
        <v>4</v>
      </c>
      <c r="F22" s="5" t="s">
        <v>15</v>
      </c>
      <c r="G22" s="5">
        <v>127</v>
      </c>
      <c r="H22" s="5">
        <v>122</v>
      </c>
    </row>
    <row r="23" spans="1:8">
      <c r="A23" s="6">
        <v>11014</v>
      </c>
      <c r="B23" s="4" t="s">
        <v>36</v>
      </c>
      <c r="C23" s="4" t="s">
        <v>23</v>
      </c>
      <c r="D23" s="5">
        <v>259</v>
      </c>
      <c r="E23" s="5">
        <v>9</v>
      </c>
      <c r="F23" s="5" t="s">
        <v>13</v>
      </c>
      <c r="G23" s="5">
        <v>139</v>
      </c>
      <c r="H23" s="5">
        <v>120</v>
      </c>
    </row>
    <row r="24" spans="1:8">
      <c r="A24" s="6">
        <v>11015</v>
      </c>
      <c r="B24" s="4" t="s">
        <v>37</v>
      </c>
      <c r="C24" s="4" t="s">
        <v>23</v>
      </c>
      <c r="D24" s="5">
        <v>264</v>
      </c>
      <c r="E24" s="5">
        <v>11</v>
      </c>
      <c r="F24" s="5" t="s">
        <v>13</v>
      </c>
      <c r="G24" s="5">
        <v>140</v>
      </c>
      <c r="H24" s="5">
        <v>124</v>
      </c>
    </row>
    <row r="25" spans="1:8">
      <c r="A25" s="6">
        <v>11016</v>
      </c>
      <c r="B25" s="4" t="s">
        <v>38</v>
      </c>
      <c r="C25" s="4" t="s">
        <v>23</v>
      </c>
      <c r="D25" s="5">
        <v>259</v>
      </c>
      <c r="E25" s="5">
        <v>10</v>
      </c>
      <c r="F25" s="5" t="s">
        <v>15</v>
      </c>
      <c r="G25" s="5">
        <v>138</v>
      </c>
      <c r="H25" s="5">
        <v>121</v>
      </c>
    </row>
    <row r="26" spans="1:8">
      <c r="A26" s="6">
        <v>11017</v>
      </c>
      <c r="B26" s="4" t="s">
        <v>39</v>
      </c>
      <c r="C26" s="4" t="s">
        <v>23</v>
      </c>
      <c r="D26" s="5">
        <v>248</v>
      </c>
      <c r="E26" s="5">
        <v>7</v>
      </c>
      <c r="F26" s="5" t="s">
        <v>15</v>
      </c>
      <c r="G26" s="5">
        <v>138</v>
      </c>
      <c r="H26" s="5">
        <v>110</v>
      </c>
    </row>
    <row r="27" spans="1:8">
      <c r="A27" s="6">
        <v>11018</v>
      </c>
      <c r="B27" s="4" t="s">
        <v>40</v>
      </c>
      <c r="C27" s="4" t="s">
        <v>23</v>
      </c>
      <c r="D27" s="5">
        <v>251</v>
      </c>
      <c r="E27" s="5">
        <v>6</v>
      </c>
      <c r="F27" s="5" t="s">
        <v>15</v>
      </c>
      <c r="G27" s="5">
        <v>134</v>
      </c>
      <c r="H27" s="5">
        <v>117</v>
      </c>
    </row>
    <row r="28" spans="1:8">
      <c r="A28" s="6">
        <v>11019</v>
      </c>
      <c r="B28" s="4" t="s">
        <v>41</v>
      </c>
      <c r="C28" s="4" t="s">
        <v>23</v>
      </c>
      <c r="D28" s="5">
        <v>261</v>
      </c>
      <c r="E28" s="5">
        <v>5</v>
      </c>
      <c r="F28" s="5" t="s">
        <v>13</v>
      </c>
      <c r="G28" s="5">
        <v>135</v>
      </c>
      <c r="H28" s="5">
        <v>126</v>
      </c>
    </row>
    <row r="29" spans="1:8">
      <c r="A29" s="6">
        <v>11020</v>
      </c>
      <c r="B29" s="4" t="s">
        <v>42</v>
      </c>
      <c r="C29" s="4" t="s">
        <v>23</v>
      </c>
      <c r="D29" s="5">
        <v>259</v>
      </c>
      <c r="E29" s="5">
        <v>4</v>
      </c>
      <c r="F29" s="5" t="s">
        <v>13</v>
      </c>
      <c r="G29" s="5">
        <v>132</v>
      </c>
      <c r="H29" s="5">
        <v>127</v>
      </c>
    </row>
    <row r="30" spans="1:8">
      <c r="A30" s="6">
        <v>11021</v>
      </c>
      <c r="B30" s="4" t="s">
        <v>43</v>
      </c>
      <c r="C30" s="4" t="s">
        <v>23</v>
      </c>
      <c r="D30" s="5">
        <v>255</v>
      </c>
      <c r="E30" s="5">
        <v>7</v>
      </c>
      <c r="F30" s="5" t="s">
        <v>13</v>
      </c>
      <c r="G30" s="5">
        <v>137</v>
      </c>
      <c r="H30" s="5">
        <v>118</v>
      </c>
    </row>
    <row r="31" spans="1:8">
      <c r="A31" s="6">
        <v>11022</v>
      </c>
      <c r="B31" s="4" t="s">
        <v>44</v>
      </c>
      <c r="C31" s="4" t="s">
        <v>23</v>
      </c>
      <c r="D31" s="5">
        <v>247</v>
      </c>
      <c r="E31" s="5">
        <v>3</v>
      </c>
      <c r="F31" s="5" t="s">
        <v>15</v>
      </c>
      <c r="G31" s="5">
        <v>128</v>
      </c>
      <c r="H31" s="5">
        <v>119</v>
      </c>
    </row>
    <row r="32" spans="1:8">
      <c r="A32" s="6">
        <v>11023</v>
      </c>
      <c r="B32" s="4" t="s">
        <v>45</v>
      </c>
      <c r="C32" s="4" t="s">
        <v>23</v>
      </c>
      <c r="D32" s="5" t="e">
        <v>#N/A</v>
      </c>
      <c r="E32" s="5" t="e">
        <v>#N/A</v>
      </c>
      <c r="F32" s="5" t="s">
        <v>15</v>
      </c>
      <c r="G32" s="5" t="e">
        <v>#N/A</v>
      </c>
      <c r="H32" s="5" t="e">
        <v>#N/A</v>
      </c>
    </row>
    <row r="33" spans="1:8">
      <c r="A33" s="6">
        <v>11024</v>
      </c>
      <c r="B33" s="4" t="s">
        <v>46</v>
      </c>
      <c r="C33" s="4" t="s">
        <v>23</v>
      </c>
      <c r="D33" s="5">
        <v>263</v>
      </c>
      <c r="E33" s="5">
        <v>4</v>
      </c>
      <c r="F33" s="5" t="s">
        <v>15</v>
      </c>
      <c r="G33" s="5">
        <v>134</v>
      </c>
      <c r="H33" s="5">
        <v>129</v>
      </c>
    </row>
    <row r="34" spans="1:8">
      <c r="A34" s="6">
        <v>11025</v>
      </c>
      <c r="B34" s="4" t="s">
        <v>47</v>
      </c>
      <c r="C34" s="4" t="s">
        <v>23</v>
      </c>
      <c r="D34" s="5">
        <v>258</v>
      </c>
      <c r="E34" s="5">
        <v>4</v>
      </c>
      <c r="F34" s="5" t="s">
        <v>15</v>
      </c>
      <c r="G34" s="5">
        <v>132</v>
      </c>
      <c r="H34" s="5">
        <v>126</v>
      </c>
    </row>
    <row r="35" spans="1:8">
      <c r="A35" s="6">
        <v>11026</v>
      </c>
      <c r="B35" s="4" t="s">
        <v>48</v>
      </c>
      <c r="C35" s="4" t="s">
        <v>23</v>
      </c>
      <c r="D35" s="5">
        <v>238</v>
      </c>
      <c r="E35" s="5">
        <v>2</v>
      </c>
      <c r="F35" s="5" t="s">
        <v>13</v>
      </c>
      <c r="G35" s="5">
        <v>129</v>
      </c>
      <c r="H35" s="5">
        <v>109</v>
      </c>
    </row>
    <row r="36" spans="1:8">
      <c r="A36" s="6">
        <v>11027</v>
      </c>
      <c r="B36" s="4" t="s">
        <v>49</v>
      </c>
      <c r="C36" s="4" t="s">
        <v>23</v>
      </c>
      <c r="D36" s="5">
        <v>183</v>
      </c>
      <c r="E36" s="5">
        <v>1</v>
      </c>
      <c r="F36" s="5" t="s">
        <v>15</v>
      </c>
      <c r="G36" s="5">
        <v>101</v>
      </c>
      <c r="H36" s="5">
        <v>82</v>
      </c>
    </row>
    <row r="37" spans="1:8">
      <c r="A37" s="6">
        <v>11028</v>
      </c>
      <c r="B37" s="4" t="s">
        <v>50</v>
      </c>
      <c r="C37" s="4" t="s">
        <v>23</v>
      </c>
      <c r="D37" s="5">
        <v>255</v>
      </c>
      <c r="E37" s="5">
        <v>3</v>
      </c>
      <c r="F37" s="5" t="s">
        <v>13</v>
      </c>
      <c r="G37" s="5">
        <v>125</v>
      </c>
      <c r="H37" s="5">
        <v>130</v>
      </c>
    </row>
    <row r="38" spans="1:8">
      <c r="A38" s="6">
        <v>11029</v>
      </c>
      <c r="B38" s="4" t="s">
        <v>51</v>
      </c>
      <c r="C38" s="4" t="s">
        <v>23</v>
      </c>
      <c r="D38" s="5">
        <v>159</v>
      </c>
      <c r="E38" s="5">
        <v>0</v>
      </c>
      <c r="F38" s="5" t="s">
        <v>13</v>
      </c>
      <c r="G38" s="5">
        <v>83</v>
      </c>
      <c r="H38" s="5">
        <v>76</v>
      </c>
    </row>
    <row r="39" spans="1:8">
      <c r="A39" s="6">
        <v>11030</v>
      </c>
      <c r="B39" s="4" t="s">
        <v>52</v>
      </c>
      <c r="C39" s="4" t="s">
        <v>23</v>
      </c>
      <c r="D39" s="5">
        <v>226</v>
      </c>
      <c r="E39" s="5">
        <v>3</v>
      </c>
      <c r="F39" s="5" t="s">
        <v>13</v>
      </c>
      <c r="G39" s="5">
        <v>127</v>
      </c>
      <c r="H39" s="5">
        <v>99</v>
      </c>
    </row>
    <row r="40" spans="1:8">
      <c r="A40" s="6">
        <v>11031</v>
      </c>
      <c r="B40" s="4" t="s">
        <v>53</v>
      </c>
      <c r="C40" s="4" t="s">
        <v>23</v>
      </c>
      <c r="D40" s="5">
        <v>264</v>
      </c>
      <c r="E40" s="5">
        <v>11</v>
      </c>
      <c r="F40" s="5" t="s">
        <v>13</v>
      </c>
      <c r="G40" s="5">
        <v>139</v>
      </c>
      <c r="H40" s="5">
        <v>125</v>
      </c>
    </row>
    <row r="41" spans="1:8">
      <c r="A41" s="6">
        <v>11032</v>
      </c>
      <c r="B41" s="4" t="s">
        <v>54</v>
      </c>
      <c r="C41" s="4" t="s">
        <v>23</v>
      </c>
      <c r="D41" s="5">
        <v>265</v>
      </c>
      <c r="E41" s="5">
        <v>7</v>
      </c>
      <c r="F41" s="5" t="s">
        <v>15</v>
      </c>
      <c r="G41" s="5">
        <v>135</v>
      </c>
      <c r="H41" s="5">
        <v>130</v>
      </c>
    </row>
    <row r="42" spans="1:8">
      <c r="A42" s="6">
        <v>11033</v>
      </c>
      <c r="B42" s="4" t="s">
        <v>55</v>
      </c>
      <c r="C42" s="4" t="s">
        <v>23</v>
      </c>
      <c r="D42" s="5">
        <v>239</v>
      </c>
      <c r="E42" s="5">
        <v>3</v>
      </c>
      <c r="F42" s="5" t="s">
        <v>15</v>
      </c>
      <c r="G42" s="5">
        <v>126</v>
      </c>
      <c r="H42" s="5">
        <v>113</v>
      </c>
    </row>
    <row r="43" spans="1:8">
      <c r="A43" s="6">
        <v>11034</v>
      </c>
      <c r="B43" s="4" t="s">
        <v>56</v>
      </c>
      <c r="C43" s="4" t="s">
        <v>23</v>
      </c>
      <c r="D43" s="5">
        <v>265</v>
      </c>
      <c r="E43" s="5">
        <v>12</v>
      </c>
      <c r="F43" s="5" t="s">
        <v>13</v>
      </c>
      <c r="G43" s="5">
        <v>142</v>
      </c>
      <c r="H43" s="5">
        <v>123</v>
      </c>
    </row>
    <row r="44" spans="1:8">
      <c r="A44" s="6">
        <v>11035</v>
      </c>
      <c r="B44" s="4" t="s">
        <v>57</v>
      </c>
      <c r="C44" s="4" t="s">
        <v>23</v>
      </c>
      <c r="D44" s="5">
        <v>264</v>
      </c>
      <c r="E44" s="5">
        <v>10</v>
      </c>
      <c r="F44" s="5" t="s">
        <v>13</v>
      </c>
      <c r="G44" s="5">
        <v>138</v>
      </c>
      <c r="H44" s="5">
        <v>126</v>
      </c>
    </row>
    <row r="45" spans="1:8">
      <c r="A45" s="6">
        <v>11036</v>
      </c>
      <c r="B45" s="4" t="s">
        <v>58</v>
      </c>
      <c r="C45" s="4" t="s">
        <v>23</v>
      </c>
      <c r="D45" s="5">
        <v>255</v>
      </c>
      <c r="E45" s="5">
        <v>8</v>
      </c>
      <c r="F45" s="5" t="s">
        <v>13</v>
      </c>
      <c r="G45" s="5">
        <v>136</v>
      </c>
      <c r="H45" s="5">
        <v>119</v>
      </c>
    </row>
    <row r="46" spans="1:8">
      <c r="A46" s="6">
        <v>11037</v>
      </c>
      <c r="B46" s="4" t="s">
        <v>59</v>
      </c>
      <c r="C46" s="4" t="s">
        <v>23</v>
      </c>
      <c r="D46" s="5" t="e">
        <v>#N/A</v>
      </c>
      <c r="E46" s="5" t="e">
        <v>#N/A</v>
      </c>
      <c r="F46" s="5" t="s">
        <v>15</v>
      </c>
      <c r="G46" s="5" t="e">
        <v>#N/A</v>
      </c>
      <c r="H46" s="5" t="e">
        <v>#N/A</v>
      </c>
    </row>
    <row r="47" spans="1:8">
      <c r="A47" s="6">
        <v>11038</v>
      </c>
      <c r="B47" s="4" t="s">
        <v>60</v>
      </c>
      <c r="C47" s="4" t="s">
        <v>23</v>
      </c>
      <c r="D47" s="5">
        <v>244</v>
      </c>
      <c r="E47" s="5">
        <v>3</v>
      </c>
      <c r="F47" s="5" t="s">
        <v>13</v>
      </c>
      <c r="G47" s="5">
        <v>127</v>
      </c>
      <c r="H47" s="5">
        <v>117</v>
      </c>
    </row>
    <row r="48" spans="1:8">
      <c r="A48" s="6">
        <v>11039</v>
      </c>
      <c r="B48" s="4" t="s">
        <v>61</v>
      </c>
      <c r="C48" s="4" t="s">
        <v>23</v>
      </c>
      <c r="D48" s="5">
        <v>288</v>
      </c>
      <c r="E48" s="5">
        <v>21</v>
      </c>
      <c r="F48" s="5" t="s">
        <v>13</v>
      </c>
      <c r="G48" s="5">
        <v>147</v>
      </c>
      <c r="H48" s="5">
        <v>141</v>
      </c>
    </row>
    <row r="49" spans="1:8">
      <c r="A49" s="6">
        <v>11040</v>
      </c>
      <c r="B49" s="4" t="s">
        <v>62</v>
      </c>
      <c r="C49" s="4" t="s">
        <v>23</v>
      </c>
      <c r="D49" s="5">
        <v>261</v>
      </c>
      <c r="E49" s="5">
        <v>8</v>
      </c>
      <c r="F49" s="5" t="s">
        <v>15</v>
      </c>
      <c r="G49" s="5">
        <v>135</v>
      </c>
      <c r="H49" s="5">
        <v>126</v>
      </c>
    </row>
    <row r="50" spans="1:8">
      <c r="A50" s="6">
        <v>11041</v>
      </c>
      <c r="B50" s="4" t="s">
        <v>63</v>
      </c>
      <c r="C50" s="4" t="s">
        <v>23</v>
      </c>
      <c r="D50" s="5">
        <v>273</v>
      </c>
      <c r="E50" s="5">
        <v>13</v>
      </c>
      <c r="F50" s="5" t="s">
        <v>15</v>
      </c>
      <c r="G50" s="5">
        <v>144</v>
      </c>
      <c r="H50" s="5">
        <v>129</v>
      </c>
    </row>
    <row r="51" spans="1:8">
      <c r="A51" s="6">
        <v>12001</v>
      </c>
      <c r="B51" s="4" t="s">
        <v>64</v>
      </c>
      <c r="C51" s="4" t="s">
        <v>65</v>
      </c>
      <c r="D51" s="5">
        <v>196</v>
      </c>
      <c r="E51" s="5">
        <v>2</v>
      </c>
      <c r="F51" s="5" t="s">
        <v>13</v>
      </c>
      <c r="G51" s="5">
        <v>120</v>
      </c>
      <c r="H51" s="5">
        <v>76</v>
      </c>
    </row>
    <row r="52" spans="1:8">
      <c r="A52" s="6">
        <v>12002</v>
      </c>
      <c r="B52" s="4" t="s">
        <v>66</v>
      </c>
      <c r="C52" s="4" t="s">
        <v>65</v>
      </c>
      <c r="D52" s="5">
        <v>256</v>
      </c>
      <c r="E52" s="5">
        <v>6</v>
      </c>
      <c r="F52" s="5" t="s">
        <v>15</v>
      </c>
      <c r="G52" s="5">
        <v>137</v>
      </c>
      <c r="H52" s="5">
        <v>119</v>
      </c>
    </row>
    <row r="53" spans="1:8">
      <c r="A53" s="6">
        <v>12003</v>
      </c>
      <c r="B53" s="4" t="s">
        <v>67</v>
      </c>
      <c r="C53" s="4" t="s">
        <v>65</v>
      </c>
      <c r="D53" s="5">
        <v>171</v>
      </c>
      <c r="E53" s="5">
        <v>5</v>
      </c>
      <c r="F53" s="5" t="s">
        <v>15</v>
      </c>
      <c r="G53" s="5">
        <v>104</v>
      </c>
      <c r="H53" s="5">
        <v>67</v>
      </c>
    </row>
    <row r="54" spans="1:8">
      <c r="A54" s="6">
        <v>12004</v>
      </c>
      <c r="B54" s="4" t="s">
        <v>68</v>
      </c>
      <c r="C54" s="4" t="s">
        <v>65</v>
      </c>
      <c r="D54" s="5">
        <v>170</v>
      </c>
      <c r="E54" s="5">
        <v>1</v>
      </c>
      <c r="F54" s="5" t="s">
        <v>13</v>
      </c>
      <c r="G54" s="5">
        <v>107</v>
      </c>
      <c r="H54" s="5">
        <v>63</v>
      </c>
    </row>
    <row r="55" spans="1:8">
      <c r="A55" s="6">
        <v>13001</v>
      </c>
      <c r="B55" s="4" t="s">
        <v>69</v>
      </c>
      <c r="C55" s="4" t="s">
        <v>70</v>
      </c>
      <c r="D55" s="5">
        <v>230</v>
      </c>
      <c r="E55" s="5">
        <v>3</v>
      </c>
      <c r="F55" s="5" t="s">
        <v>13</v>
      </c>
      <c r="G55" s="5">
        <v>126</v>
      </c>
      <c r="H55" s="5">
        <v>104</v>
      </c>
    </row>
    <row r="56" spans="1:8">
      <c r="A56" s="6">
        <v>13002</v>
      </c>
      <c r="B56" s="4" t="s">
        <v>71</v>
      </c>
      <c r="C56" s="4" t="s">
        <v>70</v>
      </c>
      <c r="D56" s="5">
        <v>268</v>
      </c>
      <c r="E56" s="5">
        <v>8</v>
      </c>
      <c r="F56" s="5" t="s">
        <v>15</v>
      </c>
      <c r="G56" s="5">
        <v>140</v>
      </c>
      <c r="H56" s="5">
        <v>128</v>
      </c>
    </row>
    <row r="57" spans="1:8">
      <c r="A57" s="6">
        <v>13003</v>
      </c>
      <c r="B57" s="4" t="s">
        <v>72</v>
      </c>
      <c r="C57" s="4" t="s">
        <v>70</v>
      </c>
      <c r="D57" s="5">
        <v>275</v>
      </c>
      <c r="E57" s="5">
        <v>13</v>
      </c>
      <c r="F57" s="5" t="s">
        <v>13</v>
      </c>
      <c r="G57" s="5">
        <v>143</v>
      </c>
      <c r="H57" s="5">
        <v>132</v>
      </c>
    </row>
    <row r="58" spans="1:8">
      <c r="A58" s="6">
        <v>13004</v>
      </c>
      <c r="B58" s="4" t="s">
        <v>73</v>
      </c>
      <c r="C58" s="4" t="s">
        <v>70</v>
      </c>
      <c r="D58" s="5">
        <v>275</v>
      </c>
      <c r="E58" s="5">
        <v>12</v>
      </c>
      <c r="F58" s="5" t="s">
        <v>15</v>
      </c>
      <c r="G58" s="5">
        <v>143</v>
      </c>
      <c r="H58" s="5">
        <v>132</v>
      </c>
    </row>
    <row r="59" spans="1:8">
      <c r="A59" s="6">
        <v>13005</v>
      </c>
      <c r="B59" s="4" t="s">
        <v>74</v>
      </c>
      <c r="C59" s="4" t="s">
        <v>70</v>
      </c>
      <c r="D59" s="5">
        <v>279</v>
      </c>
      <c r="E59" s="5">
        <v>13</v>
      </c>
      <c r="F59" s="5" t="s">
        <v>15</v>
      </c>
      <c r="G59" s="5">
        <v>142</v>
      </c>
      <c r="H59" s="5">
        <v>137</v>
      </c>
    </row>
    <row r="60" spans="1:8">
      <c r="A60" s="6">
        <v>13006</v>
      </c>
      <c r="B60" s="4" t="s">
        <v>75</v>
      </c>
      <c r="C60" s="4" t="s">
        <v>70</v>
      </c>
      <c r="D60" s="5">
        <v>268</v>
      </c>
      <c r="E60" s="5">
        <v>9</v>
      </c>
      <c r="F60" s="5" t="s">
        <v>15</v>
      </c>
      <c r="G60" s="5">
        <v>137</v>
      </c>
      <c r="H60" s="5">
        <v>131</v>
      </c>
    </row>
    <row r="61" spans="1:8">
      <c r="A61" s="6">
        <v>13007</v>
      </c>
      <c r="B61" s="4" t="s">
        <v>76</v>
      </c>
      <c r="C61" s="4" t="s">
        <v>70</v>
      </c>
      <c r="D61" s="5">
        <v>266</v>
      </c>
      <c r="E61" s="5">
        <v>7</v>
      </c>
      <c r="F61" s="5" t="s">
        <v>13</v>
      </c>
      <c r="G61" s="5">
        <v>127</v>
      </c>
      <c r="H61" s="5">
        <v>130</v>
      </c>
    </row>
    <row r="62" spans="1:8">
      <c r="A62" s="6">
        <v>13008</v>
      </c>
      <c r="B62" s="4" t="s">
        <v>77</v>
      </c>
      <c r="C62" s="4" t="s">
        <v>70</v>
      </c>
      <c r="D62" s="5">
        <v>266</v>
      </c>
      <c r="E62" s="5">
        <v>8</v>
      </c>
      <c r="F62" s="5" t="s">
        <v>13</v>
      </c>
      <c r="G62" s="5">
        <v>137</v>
      </c>
      <c r="H62" s="5">
        <v>129</v>
      </c>
    </row>
    <row r="63" spans="1:8">
      <c r="A63" s="6">
        <v>13009</v>
      </c>
      <c r="B63" s="4" t="s">
        <v>78</v>
      </c>
      <c r="C63" s="4" t="s">
        <v>70</v>
      </c>
      <c r="D63" s="5">
        <v>241</v>
      </c>
      <c r="E63" s="5">
        <v>4</v>
      </c>
      <c r="F63" s="5" t="s">
        <v>13</v>
      </c>
      <c r="G63" s="5">
        <v>125</v>
      </c>
      <c r="H63" s="5">
        <v>116</v>
      </c>
    </row>
    <row r="64" spans="1:8">
      <c r="A64" s="6">
        <v>13010</v>
      </c>
      <c r="B64" s="4" t="s">
        <v>79</v>
      </c>
      <c r="C64" s="4" t="s">
        <v>70</v>
      </c>
      <c r="D64" s="5">
        <v>259</v>
      </c>
      <c r="E64" s="5">
        <v>8</v>
      </c>
      <c r="F64" s="5" t="s">
        <v>15</v>
      </c>
      <c r="G64" s="5">
        <v>130</v>
      </c>
      <c r="H64" s="5">
        <v>129</v>
      </c>
    </row>
    <row r="65" spans="1:8">
      <c r="A65" s="6">
        <v>13011</v>
      </c>
      <c r="B65" s="4" t="s">
        <v>80</v>
      </c>
      <c r="C65" s="4" t="s">
        <v>70</v>
      </c>
      <c r="D65" s="5">
        <v>251</v>
      </c>
      <c r="E65" s="5">
        <v>4</v>
      </c>
      <c r="F65" s="5" t="s">
        <v>15</v>
      </c>
      <c r="G65" s="5">
        <v>135</v>
      </c>
      <c r="H65" s="5">
        <v>116</v>
      </c>
    </row>
    <row r="66" spans="1:8">
      <c r="A66" s="6">
        <v>13012</v>
      </c>
      <c r="B66" s="4" t="s">
        <v>81</v>
      </c>
      <c r="C66" s="4" t="s">
        <v>70</v>
      </c>
      <c r="D66" s="5">
        <v>246</v>
      </c>
      <c r="E66" s="5">
        <v>2</v>
      </c>
      <c r="F66" s="5" t="s">
        <v>13</v>
      </c>
      <c r="G66" s="5">
        <v>131</v>
      </c>
      <c r="H66" s="5">
        <v>115</v>
      </c>
    </row>
    <row r="67" spans="1:8">
      <c r="A67" s="6">
        <v>14001</v>
      </c>
      <c r="B67" s="4" t="s">
        <v>82</v>
      </c>
      <c r="C67" s="4" t="s">
        <v>83</v>
      </c>
      <c r="D67" s="5">
        <v>261</v>
      </c>
      <c r="E67" s="5">
        <v>7</v>
      </c>
      <c r="F67" s="5" t="s">
        <v>15</v>
      </c>
      <c r="G67" s="5">
        <v>133</v>
      </c>
      <c r="H67" s="5">
        <v>128</v>
      </c>
    </row>
    <row r="68" spans="1:8">
      <c r="A68" s="6">
        <v>14002</v>
      </c>
      <c r="B68" s="4" t="s">
        <v>84</v>
      </c>
      <c r="C68" s="4" t="s">
        <v>83</v>
      </c>
      <c r="D68" s="5">
        <v>279</v>
      </c>
      <c r="E68" s="5">
        <v>12</v>
      </c>
      <c r="F68" s="5" t="s">
        <v>15</v>
      </c>
      <c r="G68" s="5">
        <v>140</v>
      </c>
      <c r="H68" s="5">
        <v>139</v>
      </c>
    </row>
    <row r="69" spans="1:8">
      <c r="A69" s="6">
        <v>14003</v>
      </c>
      <c r="B69" s="4" t="s">
        <v>85</v>
      </c>
      <c r="C69" s="4" t="s">
        <v>83</v>
      </c>
      <c r="D69" s="5">
        <v>260</v>
      </c>
      <c r="E69" s="5">
        <v>6</v>
      </c>
      <c r="F69" s="5" t="s">
        <v>13</v>
      </c>
      <c r="G69" s="5">
        <v>140</v>
      </c>
      <c r="H69" s="5">
        <v>120</v>
      </c>
    </row>
    <row r="70" spans="1:8">
      <c r="A70" s="6">
        <v>14004</v>
      </c>
      <c r="B70" s="4" t="s">
        <v>86</v>
      </c>
      <c r="C70" s="4" t="s">
        <v>83</v>
      </c>
      <c r="D70" s="5">
        <v>277</v>
      </c>
      <c r="E70" s="5">
        <v>12</v>
      </c>
      <c r="F70" s="5" t="s">
        <v>13</v>
      </c>
      <c r="G70" s="5">
        <v>140</v>
      </c>
      <c r="H70" s="5">
        <v>137</v>
      </c>
    </row>
    <row r="71" spans="1:8">
      <c r="A71" s="6">
        <v>14005</v>
      </c>
      <c r="B71" s="4" t="s">
        <v>87</v>
      </c>
      <c r="C71" s="4" t="s">
        <v>83</v>
      </c>
      <c r="D71" s="5">
        <v>258</v>
      </c>
      <c r="E71" s="5">
        <v>7</v>
      </c>
      <c r="F71" s="5" t="s">
        <v>15</v>
      </c>
      <c r="G71" s="5">
        <v>139</v>
      </c>
      <c r="H71" s="5">
        <v>119</v>
      </c>
    </row>
    <row r="72" spans="1:8">
      <c r="A72" s="6">
        <v>14006</v>
      </c>
      <c r="B72" s="4" t="s">
        <v>88</v>
      </c>
      <c r="C72" s="4" t="s">
        <v>83</v>
      </c>
      <c r="D72" s="5">
        <v>259</v>
      </c>
      <c r="E72" s="5">
        <v>6</v>
      </c>
      <c r="F72" s="5" t="s">
        <v>13</v>
      </c>
      <c r="G72" s="5">
        <v>128</v>
      </c>
      <c r="H72" s="5">
        <v>131</v>
      </c>
    </row>
    <row r="73" spans="1:8">
      <c r="A73" s="6">
        <v>14007</v>
      </c>
      <c r="B73" s="4" t="s">
        <v>89</v>
      </c>
      <c r="C73" s="4" t="s">
        <v>83</v>
      </c>
      <c r="D73" s="5">
        <v>250</v>
      </c>
      <c r="E73" s="5">
        <v>5</v>
      </c>
      <c r="F73" s="5" t="s">
        <v>13</v>
      </c>
      <c r="G73" s="5">
        <v>132</v>
      </c>
      <c r="H73" s="5">
        <v>118</v>
      </c>
    </row>
    <row r="74" spans="1:8">
      <c r="A74" s="6">
        <v>14008</v>
      </c>
      <c r="B74" s="4" t="s">
        <v>90</v>
      </c>
      <c r="C74" s="4" t="s">
        <v>83</v>
      </c>
      <c r="D74" s="5" t="e">
        <v>#N/A</v>
      </c>
      <c r="E74" s="5" t="e">
        <v>#N/A</v>
      </c>
      <c r="F74" s="5" t="s">
        <v>13</v>
      </c>
      <c r="G74" s="5" t="e">
        <v>#N/A</v>
      </c>
      <c r="H74" s="5" t="e">
        <v>#N/A</v>
      </c>
    </row>
    <row r="75" spans="1:8">
      <c r="A75" s="6">
        <v>14009</v>
      </c>
      <c r="B75" s="4" t="s">
        <v>91</v>
      </c>
      <c r="C75" s="4" t="s">
        <v>83</v>
      </c>
      <c r="D75" s="5">
        <v>249</v>
      </c>
      <c r="E75" s="5">
        <v>5</v>
      </c>
      <c r="F75" s="5" t="s">
        <v>13</v>
      </c>
      <c r="G75" s="5">
        <v>135</v>
      </c>
      <c r="H75" s="5">
        <v>114</v>
      </c>
    </row>
    <row r="76" spans="1:8">
      <c r="A76" s="6">
        <v>14010</v>
      </c>
      <c r="B76" s="4" t="s">
        <v>92</v>
      </c>
      <c r="C76" s="4" t="s">
        <v>83</v>
      </c>
      <c r="D76" s="5">
        <v>266</v>
      </c>
      <c r="E76" s="5">
        <v>10</v>
      </c>
      <c r="F76" s="5" t="s">
        <v>13</v>
      </c>
      <c r="G76" s="5">
        <v>139</v>
      </c>
      <c r="H76" s="5">
        <v>127</v>
      </c>
    </row>
    <row r="77" spans="1:8">
      <c r="A77" s="6">
        <v>14011</v>
      </c>
      <c r="B77" s="4" t="s">
        <v>93</v>
      </c>
      <c r="C77" s="4" t="s">
        <v>83</v>
      </c>
      <c r="D77" s="5">
        <v>277</v>
      </c>
      <c r="E77" s="5">
        <v>15</v>
      </c>
      <c r="F77" s="5" t="s">
        <v>13</v>
      </c>
      <c r="G77" s="5">
        <v>143</v>
      </c>
      <c r="H77" s="5">
        <v>134</v>
      </c>
    </row>
    <row r="78" spans="1:8">
      <c r="A78" s="6">
        <v>14012</v>
      </c>
      <c r="B78" s="4" t="s">
        <v>94</v>
      </c>
      <c r="C78" s="4" t="s">
        <v>83</v>
      </c>
      <c r="D78" s="5">
        <v>238</v>
      </c>
      <c r="E78" s="5">
        <v>4</v>
      </c>
      <c r="F78" s="5" t="s">
        <v>13</v>
      </c>
      <c r="G78" s="5">
        <v>128</v>
      </c>
      <c r="H78" s="5">
        <v>110</v>
      </c>
    </row>
    <row r="79" spans="1:8">
      <c r="A79" s="6">
        <v>14013</v>
      </c>
      <c r="B79" s="4" t="s">
        <v>95</v>
      </c>
      <c r="C79" s="4" t="s">
        <v>83</v>
      </c>
      <c r="D79" s="5">
        <v>287</v>
      </c>
      <c r="E79" s="5">
        <v>17</v>
      </c>
      <c r="F79" s="5" t="s">
        <v>13</v>
      </c>
      <c r="G79" s="5">
        <v>144</v>
      </c>
      <c r="H79" s="5">
        <v>143</v>
      </c>
    </row>
    <row r="80" spans="1:8">
      <c r="A80" s="6">
        <v>14014</v>
      </c>
      <c r="B80" s="4" t="s">
        <v>96</v>
      </c>
      <c r="C80" s="4" t="s">
        <v>83</v>
      </c>
      <c r="D80" s="5">
        <v>282</v>
      </c>
      <c r="E80" s="5">
        <v>18</v>
      </c>
      <c r="F80" s="5" t="s">
        <v>13</v>
      </c>
      <c r="G80" s="5">
        <v>146</v>
      </c>
      <c r="H80" s="5">
        <v>136</v>
      </c>
    </row>
    <row r="81" spans="1:8">
      <c r="A81" s="6">
        <v>14015</v>
      </c>
      <c r="B81" s="4" t="s">
        <v>97</v>
      </c>
      <c r="C81" s="4" t="s">
        <v>83</v>
      </c>
      <c r="D81" s="5">
        <v>271</v>
      </c>
      <c r="E81" s="5">
        <v>9</v>
      </c>
      <c r="F81" s="5" t="s">
        <v>13</v>
      </c>
      <c r="G81" s="5">
        <v>137</v>
      </c>
      <c r="H81" s="5">
        <v>134</v>
      </c>
    </row>
    <row r="82" spans="1:8">
      <c r="A82" s="6">
        <v>14016</v>
      </c>
      <c r="B82" s="4" t="s">
        <v>98</v>
      </c>
      <c r="C82" s="4" t="s">
        <v>83</v>
      </c>
      <c r="D82" s="5">
        <v>283</v>
      </c>
      <c r="E82" s="5">
        <v>16</v>
      </c>
      <c r="F82" s="5" t="s">
        <v>15</v>
      </c>
      <c r="G82" s="5">
        <v>143</v>
      </c>
      <c r="H82" s="5">
        <v>140</v>
      </c>
    </row>
    <row r="83" spans="1:8">
      <c r="A83" s="6">
        <v>14017</v>
      </c>
      <c r="B83" s="4" t="s">
        <v>99</v>
      </c>
      <c r="C83" s="4" t="s">
        <v>83</v>
      </c>
      <c r="D83" s="5">
        <v>269</v>
      </c>
      <c r="E83" s="5">
        <v>9</v>
      </c>
      <c r="F83" s="5" t="s">
        <v>15</v>
      </c>
      <c r="G83" s="5">
        <v>140</v>
      </c>
      <c r="H83" s="5">
        <v>129</v>
      </c>
    </row>
    <row r="84" spans="1:8">
      <c r="A84" s="6">
        <v>14018</v>
      </c>
      <c r="B84" s="4" t="s">
        <v>100</v>
      </c>
      <c r="C84" s="4" t="s">
        <v>83</v>
      </c>
      <c r="D84" s="5">
        <v>231</v>
      </c>
      <c r="E84" s="5">
        <v>4</v>
      </c>
      <c r="F84" s="5" t="s">
        <v>13</v>
      </c>
      <c r="G84" s="5">
        <v>131</v>
      </c>
      <c r="H84" s="5">
        <v>100</v>
      </c>
    </row>
    <row r="85" spans="1:8">
      <c r="A85" s="6">
        <v>14019</v>
      </c>
      <c r="B85" s="4" t="s">
        <v>101</v>
      </c>
      <c r="C85" s="4" t="s">
        <v>83</v>
      </c>
      <c r="D85" s="5" t="e">
        <v>#N/A</v>
      </c>
      <c r="E85" s="5" t="e">
        <v>#N/A</v>
      </c>
      <c r="F85" s="5" t="s">
        <v>13</v>
      </c>
      <c r="G85" s="5" t="e">
        <v>#N/A</v>
      </c>
      <c r="H85" s="5" t="e">
        <v>#N/A</v>
      </c>
    </row>
    <row r="86" spans="1:8">
      <c r="A86" s="6">
        <v>14020</v>
      </c>
      <c r="B86" s="4" t="s">
        <v>102</v>
      </c>
      <c r="C86" s="4" t="s">
        <v>83</v>
      </c>
      <c r="D86" s="5">
        <v>252</v>
      </c>
      <c r="E86" s="5">
        <v>2</v>
      </c>
      <c r="F86" s="5" t="s">
        <v>15</v>
      </c>
      <c r="G86" s="5">
        <v>131</v>
      </c>
      <c r="H86" s="5">
        <v>121</v>
      </c>
    </row>
    <row r="87" spans="1:8">
      <c r="A87" s="6">
        <v>14021</v>
      </c>
      <c r="B87" s="4" t="s">
        <v>103</v>
      </c>
      <c r="C87" s="4" t="s">
        <v>83</v>
      </c>
      <c r="D87" s="5">
        <v>255</v>
      </c>
      <c r="E87" s="5">
        <v>6</v>
      </c>
      <c r="F87" s="5" t="s">
        <v>13</v>
      </c>
      <c r="G87" s="5">
        <v>134</v>
      </c>
      <c r="H87" s="5">
        <v>121</v>
      </c>
    </row>
    <row r="88" spans="1:8">
      <c r="A88" s="6">
        <v>14022</v>
      </c>
      <c r="B88" s="4" t="s">
        <v>104</v>
      </c>
      <c r="C88" s="4" t="s">
        <v>83</v>
      </c>
      <c r="D88" s="5">
        <v>245</v>
      </c>
      <c r="E88" s="5">
        <v>5</v>
      </c>
      <c r="F88" s="5" t="s">
        <v>13</v>
      </c>
      <c r="G88" s="5">
        <v>133</v>
      </c>
      <c r="H88" s="5">
        <v>112</v>
      </c>
    </row>
    <row r="89" spans="1:8">
      <c r="A89" s="6">
        <v>14023</v>
      </c>
      <c r="B89" s="4" t="s">
        <v>105</v>
      </c>
      <c r="C89" s="4" t="s">
        <v>83</v>
      </c>
      <c r="D89" s="5">
        <v>222</v>
      </c>
      <c r="E89" s="5">
        <v>1</v>
      </c>
      <c r="F89" s="5" t="s">
        <v>13</v>
      </c>
      <c r="G89" s="5">
        <v>116</v>
      </c>
      <c r="H89" s="5">
        <v>106</v>
      </c>
    </row>
    <row r="90" spans="1:8">
      <c r="A90" s="6">
        <v>14024</v>
      </c>
      <c r="B90" s="4" t="s">
        <v>106</v>
      </c>
      <c r="C90" s="4" t="s">
        <v>83</v>
      </c>
      <c r="D90" s="5">
        <v>266</v>
      </c>
      <c r="E90" s="5">
        <v>11</v>
      </c>
      <c r="F90" s="5" t="s">
        <v>13</v>
      </c>
      <c r="G90" s="5">
        <v>139</v>
      </c>
      <c r="H90" s="5">
        <v>127</v>
      </c>
    </row>
    <row r="91" spans="1:8">
      <c r="A91" s="6">
        <v>14025</v>
      </c>
      <c r="B91" s="4" t="s">
        <v>107</v>
      </c>
      <c r="C91" s="4" t="s">
        <v>83</v>
      </c>
      <c r="D91" s="5">
        <v>269</v>
      </c>
      <c r="E91" s="5">
        <v>9</v>
      </c>
      <c r="F91" s="5" t="s">
        <v>15</v>
      </c>
      <c r="G91" s="5">
        <v>141</v>
      </c>
      <c r="H91" s="5">
        <v>128</v>
      </c>
    </row>
    <row r="92" spans="1:8">
      <c r="A92" s="6">
        <v>14026</v>
      </c>
      <c r="B92" s="4" t="s">
        <v>108</v>
      </c>
      <c r="C92" s="4" t="s">
        <v>83</v>
      </c>
      <c r="D92" s="5">
        <v>280</v>
      </c>
      <c r="E92" s="5">
        <v>17</v>
      </c>
      <c r="F92" s="5" t="s">
        <v>15</v>
      </c>
      <c r="G92" s="5">
        <v>144</v>
      </c>
      <c r="H92" s="5">
        <v>136</v>
      </c>
    </row>
    <row r="93" spans="1:8">
      <c r="A93" s="6">
        <v>14027</v>
      </c>
      <c r="B93" s="4" t="s">
        <v>109</v>
      </c>
      <c r="C93" s="4" t="s">
        <v>83</v>
      </c>
      <c r="D93" s="5">
        <v>208</v>
      </c>
      <c r="E93" s="5">
        <v>1</v>
      </c>
      <c r="F93" s="5" t="s">
        <v>13</v>
      </c>
      <c r="G93" s="5">
        <v>113</v>
      </c>
      <c r="H93" s="5">
        <v>95</v>
      </c>
    </row>
    <row r="94" spans="1:8">
      <c r="A94" s="6">
        <v>14028</v>
      </c>
      <c r="B94" s="4" t="s">
        <v>110</v>
      </c>
      <c r="C94" s="4" t="s">
        <v>83</v>
      </c>
      <c r="D94" s="5">
        <v>219</v>
      </c>
      <c r="E94" s="5">
        <v>6</v>
      </c>
      <c r="F94" s="5" t="s">
        <v>13</v>
      </c>
      <c r="G94" s="5">
        <v>122</v>
      </c>
      <c r="H94" s="5">
        <v>97</v>
      </c>
    </row>
    <row r="95" spans="1:8">
      <c r="A95" s="6">
        <v>14029</v>
      </c>
      <c r="B95" s="4" t="s">
        <v>111</v>
      </c>
      <c r="C95" s="4" t="s">
        <v>83</v>
      </c>
      <c r="D95" s="5">
        <v>271</v>
      </c>
      <c r="E95" s="5">
        <v>10</v>
      </c>
      <c r="F95" s="5" t="s">
        <v>13</v>
      </c>
      <c r="G95" s="5">
        <v>141</v>
      </c>
      <c r="H95" s="5">
        <v>130</v>
      </c>
    </row>
    <row r="96" spans="1:8">
      <c r="A96" s="6">
        <v>14030</v>
      </c>
      <c r="B96" s="4" t="s">
        <v>112</v>
      </c>
      <c r="C96" s="4" t="s">
        <v>83</v>
      </c>
      <c r="D96" s="5" t="e">
        <v>#N/A</v>
      </c>
      <c r="E96" s="5" t="e">
        <v>#N/A</v>
      </c>
      <c r="F96" s="5" t="s">
        <v>13</v>
      </c>
      <c r="G96" s="5" t="e">
        <v>#N/A</v>
      </c>
      <c r="H96" s="5" t="e">
        <v>#N/A</v>
      </c>
    </row>
    <row r="97" spans="1:8">
      <c r="A97" s="6">
        <v>14031</v>
      </c>
      <c r="B97" s="4" t="s">
        <v>113</v>
      </c>
      <c r="C97" s="4" t="s">
        <v>83</v>
      </c>
      <c r="D97" s="5">
        <v>279</v>
      </c>
      <c r="E97" s="5">
        <v>15</v>
      </c>
      <c r="F97" s="5" t="s">
        <v>15</v>
      </c>
      <c r="G97" s="5">
        <v>146</v>
      </c>
      <c r="H97" s="5">
        <v>133</v>
      </c>
    </row>
    <row r="98" spans="1:8">
      <c r="A98" s="6">
        <v>14032</v>
      </c>
      <c r="B98" s="4" t="s">
        <v>114</v>
      </c>
      <c r="C98" s="4" t="s">
        <v>83</v>
      </c>
      <c r="D98" s="5">
        <v>238</v>
      </c>
      <c r="E98" s="5">
        <v>4</v>
      </c>
      <c r="F98" s="5" t="s">
        <v>15</v>
      </c>
      <c r="G98" s="5">
        <v>125</v>
      </c>
      <c r="H98" s="5">
        <v>113</v>
      </c>
    </row>
    <row r="99" spans="1:8">
      <c r="A99" s="6">
        <v>14033</v>
      </c>
      <c r="B99" s="4" t="s">
        <v>115</v>
      </c>
      <c r="C99" s="4" t="s">
        <v>83</v>
      </c>
      <c r="D99" s="5">
        <v>234</v>
      </c>
      <c r="E99" s="5">
        <v>6</v>
      </c>
      <c r="F99" s="5" t="s">
        <v>13</v>
      </c>
      <c r="G99" s="5">
        <v>136</v>
      </c>
      <c r="H99" s="5">
        <v>98</v>
      </c>
    </row>
    <row r="100" spans="1:8">
      <c r="A100" s="6">
        <v>14034</v>
      </c>
      <c r="B100" s="4" t="s">
        <v>116</v>
      </c>
      <c r="C100" s="4" t="s">
        <v>83</v>
      </c>
      <c r="D100" s="5">
        <v>270</v>
      </c>
      <c r="E100" s="5">
        <v>13</v>
      </c>
      <c r="F100" s="5" t="s">
        <v>13</v>
      </c>
      <c r="G100" s="5">
        <v>143</v>
      </c>
      <c r="H100" s="5">
        <v>127</v>
      </c>
    </row>
    <row r="101" spans="1:8">
      <c r="A101" s="6">
        <v>14035</v>
      </c>
      <c r="B101" s="4" t="s">
        <v>117</v>
      </c>
      <c r="C101" s="4" t="s">
        <v>83</v>
      </c>
      <c r="D101" s="5">
        <v>245</v>
      </c>
      <c r="E101" s="5">
        <v>2</v>
      </c>
      <c r="F101" s="5" t="s">
        <v>13</v>
      </c>
      <c r="G101" s="5">
        <v>127</v>
      </c>
      <c r="H101" s="5">
        <v>118</v>
      </c>
    </row>
    <row r="102" spans="1:8">
      <c r="A102" s="6">
        <v>15001</v>
      </c>
      <c r="B102" s="4" t="s">
        <v>118</v>
      </c>
      <c r="C102" s="4" t="s">
        <v>119</v>
      </c>
      <c r="D102" s="5">
        <v>249</v>
      </c>
      <c r="E102" s="5">
        <v>5</v>
      </c>
      <c r="F102" s="5" t="s">
        <v>13</v>
      </c>
      <c r="G102" s="5">
        <v>133</v>
      </c>
      <c r="H102" s="5">
        <v>116</v>
      </c>
    </row>
    <row r="103" spans="1:8">
      <c r="A103" s="6">
        <v>15002</v>
      </c>
      <c r="B103" s="4" t="s">
        <v>120</v>
      </c>
      <c r="C103" s="4" t="s">
        <v>119</v>
      </c>
      <c r="D103" s="5">
        <v>229</v>
      </c>
      <c r="E103" s="5">
        <v>1</v>
      </c>
      <c r="F103" s="5" t="s">
        <v>15</v>
      </c>
      <c r="G103" s="5">
        <v>113</v>
      </c>
      <c r="H103" s="5">
        <v>116</v>
      </c>
    </row>
    <row r="104" spans="1:8">
      <c r="A104" s="6">
        <v>15003</v>
      </c>
      <c r="B104" s="4" t="s">
        <v>121</v>
      </c>
      <c r="C104" s="4" t="s">
        <v>119</v>
      </c>
      <c r="D104" s="5">
        <v>275</v>
      </c>
      <c r="E104" s="5">
        <v>10</v>
      </c>
      <c r="F104" s="5" t="s">
        <v>13</v>
      </c>
      <c r="G104" s="5">
        <v>141</v>
      </c>
      <c r="H104" s="5">
        <v>134</v>
      </c>
    </row>
    <row r="105" spans="1:8">
      <c r="A105" s="6">
        <v>15004</v>
      </c>
      <c r="B105" s="4" t="s">
        <v>122</v>
      </c>
      <c r="C105" s="4" t="s">
        <v>119</v>
      </c>
      <c r="D105" s="5">
        <v>275</v>
      </c>
      <c r="E105" s="5">
        <v>13</v>
      </c>
      <c r="F105" s="5" t="s">
        <v>15</v>
      </c>
      <c r="G105" s="5">
        <v>143</v>
      </c>
      <c r="H105" s="5">
        <v>132</v>
      </c>
    </row>
    <row r="106" spans="1:8">
      <c r="A106" s="6">
        <v>15005</v>
      </c>
      <c r="B106" s="4" t="s">
        <v>123</v>
      </c>
      <c r="C106" s="4" t="s">
        <v>119</v>
      </c>
      <c r="D106" s="5">
        <v>190</v>
      </c>
      <c r="E106" s="5">
        <v>1</v>
      </c>
      <c r="F106" s="5" t="s">
        <v>15</v>
      </c>
      <c r="G106" s="5">
        <v>111</v>
      </c>
      <c r="H106" s="5">
        <v>79</v>
      </c>
    </row>
    <row r="107" spans="1:8">
      <c r="A107" s="6">
        <v>15006</v>
      </c>
      <c r="B107" s="4" t="s">
        <v>124</v>
      </c>
      <c r="C107" s="4" t="s">
        <v>119</v>
      </c>
      <c r="D107" s="5">
        <v>167</v>
      </c>
      <c r="E107" s="5">
        <v>0</v>
      </c>
      <c r="F107" s="5" t="s">
        <v>13</v>
      </c>
      <c r="G107" s="5">
        <v>106</v>
      </c>
      <c r="H107" s="5">
        <v>61</v>
      </c>
    </row>
    <row r="108" spans="1:8">
      <c r="A108" s="6">
        <v>15007</v>
      </c>
      <c r="B108" s="4" t="s">
        <v>125</v>
      </c>
      <c r="C108" s="4" t="s">
        <v>119</v>
      </c>
      <c r="D108" s="5">
        <v>221</v>
      </c>
      <c r="E108" s="5">
        <v>5</v>
      </c>
      <c r="F108" s="5" t="s">
        <v>15</v>
      </c>
      <c r="G108" s="5">
        <v>119</v>
      </c>
      <c r="H108" s="5">
        <v>102</v>
      </c>
    </row>
    <row r="109" spans="1:8">
      <c r="A109" s="6">
        <v>15008</v>
      </c>
      <c r="B109" s="4" t="s">
        <v>126</v>
      </c>
      <c r="C109" s="4" t="s">
        <v>119</v>
      </c>
      <c r="D109" s="5">
        <v>281</v>
      </c>
      <c r="E109" s="5">
        <v>17</v>
      </c>
      <c r="F109" s="5" t="s">
        <v>13</v>
      </c>
      <c r="G109" s="5">
        <v>146</v>
      </c>
      <c r="H109" s="5">
        <v>135</v>
      </c>
    </row>
    <row r="110" spans="1:8">
      <c r="A110" s="6">
        <v>20001</v>
      </c>
      <c r="B110" s="4" t="s">
        <v>127</v>
      </c>
      <c r="C110" s="4" t="s">
        <v>128</v>
      </c>
      <c r="D110" s="5" t="e">
        <v>#N/A</v>
      </c>
      <c r="E110" s="5" t="e">
        <v>#N/A</v>
      </c>
      <c r="F110" s="5" t="s">
        <v>15</v>
      </c>
      <c r="G110" s="5" t="e">
        <v>#N/A</v>
      </c>
      <c r="H110" s="5" t="e">
        <v>#N/A</v>
      </c>
    </row>
    <row r="111" spans="1:8">
      <c r="A111" s="6">
        <v>20002</v>
      </c>
      <c r="B111" s="4" t="s">
        <v>129</v>
      </c>
      <c r="C111" s="4" t="s">
        <v>128</v>
      </c>
      <c r="D111" s="5">
        <v>189</v>
      </c>
      <c r="E111" s="5">
        <v>4</v>
      </c>
      <c r="F111" s="5" t="s">
        <v>15</v>
      </c>
      <c r="G111" s="5">
        <v>120</v>
      </c>
      <c r="H111" s="5">
        <v>69</v>
      </c>
    </row>
    <row r="112" spans="1:8">
      <c r="A112" s="6">
        <v>20003</v>
      </c>
      <c r="B112" s="4" t="s">
        <v>130</v>
      </c>
      <c r="C112" s="4" t="s">
        <v>128</v>
      </c>
      <c r="D112" s="5">
        <v>251</v>
      </c>
      <c r="E112" s="5">
        <v>6</v>
      </c>
      <c r="F112" s="5" t="s">
        <v>15</v>
      </c>
      <c r="G112" s="5">
        <v>133</v>
      </c>
      <c r="H112" s="5">
        <v>118</v>
      </c>
    </row>
    <row r="113" spans="1:8">
      <c r="A113" s="6">
        <v>20004</v>
      </c>
      <c r="B113" s="4" t="s">
        <v>131</v>
      </c>
      <c r="C113" s="4" t="s">
        <v>128</v>
      </c>
      <c r="D113" s="5">
        <v>256</v>
      </c>
      <c r="E113" s="5">
        <v>7</v>
      </c>
      <c r="F113" s="5" t="s">
        <v>15</v>
      </c>
      <c r="G113" s="5">
        <v>136</v>
      </c>
      <c r="H113" s="5">
        <v>120</v>
      </c>
    </row>
    <row r="114" spans="1:8">
      <c r="A114" s="6">
        <v>20005</v>
      </c>
      <c r="B114" s="4" t="s">
        <v>132</v>
      </c>
      <c r="C114" s="4" t="s">
        <v>128</v>
      </c>
      <c r="D114" s="5">
        <v>241</v>
      </c>
      <c r="E114" s="5">
        <v>5</v>
      </c>
      <c r="F114" s="5" t="s">
        <v>15</v>
      </c>
      <c r="G114" s="5">
        <v>135</v>
      </c>
      <c r="H114" s="5">
        <v>106</v>
      </c>
    </row>
    <row r="115" spans="1:8">
      <c r="A115" s="6">
        <v>20006</v>
      </c>
      <c r="B115" s="4" t="s">
        <v>133</v>
      </c>
      <c r="C115" s="4" t="s">
        <v>128</v>
      </c>
      <c r="D115" s="5">
        <v>269</v>
      </c>
      <c r="E115" s="5">
        <v>13</v>
      </c>
      <c r="F115" s="5" t="s">
        <v>15</v>
      </c>
      <c r="G115" s="5">
        <v>143</v>
      </c>
      <c r="H115" s="5">
        <v>126</v>
      </c>
    </row>
    <row r="116" spans="1:8">
      <c r="A116" s="6">
        <v>20007</v>
      </c>
      <c r="B116" s="4" t="s">
        <v>134</v>
      </c>
      <c r="C116" s="4" t="s">
        <v>128</v>
      </c>
      <c r="D116" s="5">
        <v>212</v>
      </c>
      <c r="E116" s="5">
        <v>2</v>
      </c>
      <c r="F116" s="5" t="s">
        <v>15</v>
      </c>
      <c r="G116" s="5">
        <v>118</v>
      </c>
      <c r="H116" s="5">
        <v>94</v>
      </c>
    </row>
    <row r="117" spans="1:8">
      <c r="A117" s="6">
        <v>20008</v>
      </c>
      <c r="B117" s="4" t="s">
        <v>135</v>
      </c>
      <c r="C117" s="4" t="s">
        <v>128</v>
      </c>
      <c r="D117" s="5">
        <v>252</v>
      </c>
      <c r="E117" s="5">
        <v>4</v>
      </c>
      <c r="F117" s="5" t="s">
        <v>15</v>
      </c>
      <c r="G117" s="5">
        <v>128</v>
      </c>
      <c r="H117" s="5">
        <v>124</v>
      </c>
    </row>
    <row r="118" spans="1:8">
      <c r="A118" s="6">
        <v>20009</v>
      </c>
      <c r="B118" s="4" t="s">
        <v>136</v>
      </c>
      <c r="C118" s="4" t="s">
        <v>128</v>
      </c>
      <c r="D118" s="5">
        <v>210</v>
      </c>
      <c r="E118" s="5">
        <v>1</v>
      </c>
      <c r="F118" s="5" t="s">
        <v>15</v>
      </c>
      <c r="G118" s="5">
        <v>124</v>
      </c>
      <c r="H118" s="5">
        <v>86</v>
      </c>
    </row>
    <row r="119" spans="1:8">
      <c r="A119" s="6">
        <v>20010</v>
      </c>
      <c r="B119" s="4" t="s">
        <v>137</v>
      </c>
      <c r="C119" s="4" t="s">
        <v>128</v>
      </c>
      <c r="D119" s="5">
        <v>266</v>
      </c>
      <c r="E119" s="5">
        <v>9</v>
      </c>
      <c r="F119" s="5" t="s">
        <v>15</v>
      </c>
      <c r="G119" s="5">
        <v>136</v>
      </c>
      <c r="H119" s="5">
        <v>130</v>
      </c>
    </row>
    <row r="120" spans="1:8">
      <c r="A120" s="6">
        <v>20011</v>
      </c>
      <c r="B120" s="4" t="s">
        <v>138</v>
      </c>
      <c r="C120" s="4" t="s">
        <v>128</v>
      </c>
      <c r="D120" s="5">
        <v>290</v>
      </c>
      <c r="E120" s="5">
        <v>22</v>
      </c>
      <c r="F120" s="5" t="s">
        <v>15</v>
      </c>
      <c r="G120" s="5">
        <v>149</v>
      </c>
      <c r="H120" s="5">
        <v>141</v>
      </c>
    </row>
    <row r="121" spans="1:8">
      <c r="A121" s="6">
        <v>20012</v>
      </c>
      <c r="B121" s="4" t="s">
        <v>139</v>
      </c>
      <c r="C121" s="4" t="s">
        <v>128</v>
      </c>
      <c r="D121" s="5">
        <v>256</v>
      </c>
      <c r="E121" s="5">
        <v>7</v>
      </c>
      <c r="F121" s="5" t="s">
        <v>15</v>
      </c>
      <c r="G121" s="5">
        <v>135</v>
      </c>
      <c r="H121" s="5">
        <v>121</v>
      </c>
    </row>
    <row r="122" spans="1:8">
      <c r="A122" s="6">
        <v>20013</v>
      </c>
      <c r="B122" s="4" t="s">
        <v>140</v>
      </c>
      <c r="C122" s="4" t="s">
        <v>128</v>
      </c>
      <c r="D122" s="5">
        <v>257</v>
      </c>
      <c r="E122" s="5">
        <v>10</v>
      </c>
      <c r="F122" s="5" t="s">
        <v>15</v>
      </c>
      <c r="G122" s="5">
        <v>142</v>
      </c>
      <c r="H122" s="5">
        <v>115</v>
      </c>
    </row>
    <row r="123" spans="1:8">
      <c r="A123" s="6">
        <v>20014</v>
      </c>
      <c r="B123" s="4" t="s">
        <v>141</v>
      </c>
      <c r="C123" s="4" t="s">
        <v>128</v>
      </c>
      <c r="D123" s="5">
        <v>255</v>
      </c>
      <c r="E123" s="5">
        <v>5</v>
      </c>
      <c r="F123" s="5" t="s">
        <v>15</v>
      </c>
      <c r="G123" s="5">
        <v>134</v>
      </c>
      <c r="H123" s="5">
        <v>121</v>
      </c>
    </row>
    <row r="124" spans="1:8">
      <c r="A124" s="6">
        <v>20015</v>
      </c>
      <c r="B124" s="4" t="s">
        <v>142</v>
      </c>
      <c r="C124" s="4" t="s">
        <v>128</v>
      </c>
      <c r="D124" s="5">
        <v>217</v>
      </c>
      <c r="E124" s="5">
        <v>4</v>
      </c>
      <c r="F124" s="5" t="s">
        <v>15</v>
      </c>
      <c r="G124" s="5">
        <v>126</v>
      </c>
      <c r="H124" s="5">
        <v>91</v>
      </c>
    </row>
    <row r="125" spans="1:8">
      <c r="A125" s="6">
        <v>20016</v>
      </c>
      <c r="B125" s="4" t="s">
        <v>143</v>
      </c>
      <c r="C125" s="4" t="s">
        <v>128</v>
      </c>
      <c r="D125" s="5">
        <v>248</v>
      </c>
      <c r="E125" s="5">
        <v>9</v>
      </c>
      <c r="F125" s="5" t="s">
        <v>15</v>
      </c>
      <c r="G125" s="5">
        <v>139</v>
      </c>
      <c r="H125" s="5">
        <v>109</v>
      </c>
    </row>
    <row r="126" spans="1:8">
      <c r="A126" s="6">
        <v>20017</v>
      </c>
      <c r="B126" s="4" t="s">
        <v>144</v>
      </c>
      <c r="C126" s="4" t="s">
        <v>128</v>
      </c>
      <c r="D126" s="5">
        <v>243</v>
      </c>
      <c r="E126" s="5">
        <v>5</v>
      </c>
      <c r="F126" s="5" t="s">
        <v>15</v>
      </c>
      <c r="G126" s="5">
        <v>127</v>
      </c>
      <c r="H126" s="5">
        <v>116</v>
      </c>
    </row>
    <row r="127" spans="1:8">
      <c r="A127" s="6">
        <v>20018</v>
      </c>
      <c r="B127" s="4" t="s">
        <v>145</v>
      </c>
      <c r="C127" s="4" t="s">
        <v>128</v>
      </c>
      <c r="D127" s="5">
        <v>217</v>
      </c>
      <c r="E127" s="5">
        <v>4</v>
      </c>
      <c r="F127" s="5" t="s">
        <v>15</v>
      </c>
      <c r="G127" s="5">
        <v>121</v>
      </c>
      <c r="H127" s="5">
        <v>96</v>
      </c>
    </row>
    <row r="128" spans="1:8">
      <c r="A128" s="6">
        <v>20019</v>
      </c>
      <c r="B128" s="4" t="s">
        <v>146</v>
      </c>
      <c r="C128" s="4" t="s">
        <v>128</v>
      </c>
      <c r="D128" s="5">
        <v>274</v>
      </c>
      <c r="E128" s="5">
        <v>10</v>
      </c>
      <c r="F128" s="5" t="s">
        <v>15</v>
      </c>
      <c r="G128" s="5">
        <v>141</v>
      </c>
      <c r="H128" s="5">
        <v>133</v>
      </c>
    </row>
    <row r="129" spans="1:8">
      <c r="A129" s="6">
        <v>20020</v>
      </c>
      <c r="B129" s="4" t="s">
        <v>147</v>
      </c>
      <c r="C129" s="4" t="s">
        <v>128</v>
      </c>
      <c r="D129" s="5">
        <v>256</v>
      </c>
      <c r="E129" s="5">
        <v>5</v>
      </c>
      <c r="F129" s="5" t="s">
        <v>15</v>
      </c>
      <c r="G129" s="5">
        <v>123</v>
      </c>
      <c r="H129" s="5">
        <v>133</v>
      </c>
    </row>
    <row r="130" spans="1:8">
      <c r="A130" s="6">
        <v>20021</v>
      </c>
      <c r="B130" s="4" t="s">
        <v>148</v>
      </c>
      <c r="C130" s="4" t="s">
        <v>128</v>
      </c>
      <c r="D130" s="5">
        <v>206</v>
      </c>
      <c r="E130" s="5">
        <v>0</v>
      </c>
      <c r="F130" s="5" t="s">
        <v>15</v>
      </c>
      <c r="G130" s="5">
        <v>115</v>
      </c>
      <c r="H130" s="5">
        <v>91</v>
      </c>
    </row>
    <row r="131" spans="1:8">
      <c r="A131" s="6">
        <v>20022</v>
      </c>
      <c r="B131" s="4" t="s">
        <v>149</v>
      </c>
      <c r="C131" s="4" t="s">
        <v>128</v>
      </c>
      <c r="D131" s="5">
        <v>272</v>
      </c>
      <c r="E131" s="5">
        <v>12</v>
      </c>
      <c r="F131" s="5" t="s">
        <v>15</v>
      </c>
      <c r="G131" s="5">
        <v>139</v>
      </c>
      <c r="H131" s="5">
        <v>133</v>
      </c>
    </row>
    <row r="132" spans="1:8">
      <c r="A132" s="6">
        <v>20023</v>
      </c>
      <c r="B132" s="4" t="s">
        <v>150</v>
      </c>
      <c r="C132" s="4" t="s">
        <v>128</v>
      </c>
      <c r="D132" s="5">
        <v>210</v>
      </c>
      <c r="E132" s="5">
        <v>2</v>
      </c>
      <c r="F132" s="5" t="s">
        <v>15</v>
      </c>
      <c r="G132" s="5">
        <v>113</v>
      </c>
      <c r="H132" s="5">
        <v>97</v>
      </c>
    </row>
    <row r="133" spans="1:8">
      <c r="A133" s="6">
        <v>20024</v>
      </c>
      <c r="B133" s="4" t="s">
        <v>151</v>
      </c>
      <c r="C133" s="4" t="s">
        <v>128</v>
      </c>
      <c r="D133" s="5">
        <v>275</v>
      </c>
      <c r="E133" s="5">
        <v>12</v>
      </c>
      <c r="F133" s="5" t="s">
        <v>15</v>
      </c>
      <c r="G133" s="5">
        <v>139</v>
      </c>
      <c r="H133" s="5">
        <v>136</v>
      </c>
    </row>
    <row r="134" spans="1:8">
      <c r="A134" s="6">
        <v>20025</v>
      </c>
      <c r="B134" s="4" t="s">
        <v>152</v>
      </c>
      <c r="C134" s="4" t="s">
        <v>128</v>
      </c>
      <c r="D134" s="5">
        <v>246</v>
      </c>
      <c r="E134" s="5">
        <v>3</v>
      </c>
      <c r="F134" s="5" t="s">
        <v>15</v>
      </c>
      <c r="G134" s="5">
        <v>124</v>
      </c>
      <c r="H134" s="5">
        <v>122</v>
      </c>
    </row>
    <row r="135" spans="1:8">
      <c r="A135" s="6">
        <v>20026</v>
      </c>
      <c r="B135" s="4" t="s">
        <v>153</v>
      </c>
      <c r="C135" s="4" t="s">
        <v>128</v>
      </c>
      <c r="D135" s="5">
        <v>227</v>
      </c>
      <c r="E135" s="5">
        <v>5</v>
      </c>
      <c r="F135" s="5" t="s">
        <v>15</v>
      </c>
      <c r="G135" s="5">
        <v>125</v>
      </c>
      <c r="H135" s="5">
        <v>102</v>
      </c>
    </row>
    <row r="136" spans="1:8">
      <c r="A136" s="6">
        <v>20027</v>
      </c>
      <c r="B136" s="4" t="s">
        <v>154</v>
      </c>
      <c r="C136" s="4" t="s">
        <v>128</v>
      </c>
      <c r="D136" s="5">
        <v>96</v>
      </c>
      <c r="E136" s="5">
        <v>0</v>
      </c>
      <c r="F136" s="5" t="s">
        <v>15</v>
      </c>
      <c r="G136" s="5">
        <v>83</v>
      </c>
      <c r="H136" s="5">
        <v>13</v>
      </c>
    </row>
    <row r="137" spans="1:8">
      <c r="A137" s="6">
        <v>20028</v>
      </c>
      <c r="B137" s="4" t="s">
        <v>155</v>
      </c>
      <c r="C137" s="4" t="s">
        <v>128</v>
      </c>
      <c r="D137" s="5">
        <v>246</v>
      </c>
      <c r="E137" s="5">
        <v>5</v>
      </c>
      <c r="F137" s="5" t="s">
        <v>15</v>
      </c>
      <c r="G137" s="5">
        <v>130</v>
      </c>
      <c r="H137" s="5">
        <v>116</v>
      </c>
    </row>
    <row r="138" spans="1:8">
      <c r="A138" s="6">
        <v>20029</v>
      </c>
      <c r="B138" s="4" t="s">
        <v>156</v>
      </c>
      <c r="C138" s="4" t="s">
        <v>128</v>
      </c>
      <c r="D138" s="5">
        <v>267</v>
      </c>
      <c r="E138" s="5">
        <v>7</v>
      </c>
      <c r="F138" s="5" t="s">
        <v>15</v>
      </c>
      <c r="G138" s="5">
        <v>138</v>
      </c>
      <c r="H138" s="5">
        <v>129</v>
      </c>
    </row>
    <row r="139" spans="1:8">
      <c r="A139" s="6">
        <v>20030</v>
      </c>
      <c r="B139" s="4" t="s">
        <v>157</v>
      </c>
      <c r="C139" s="4" t="s">
        <v>128</v>
      </c>
      <c r="D139" s="5">
        <v>252</v>
      </c>
      <c r="E139" s="5">
        <v>5</v>
      </c>
      <c r="F139" s="5" t="s">
        <v>15</v>
      </c>
      <c r="G139" s="5">
        <v>130</v>
      </c>
      <c r="H139" s="5">
        <v>122</v>
      </c>
    </row>
    <row r="140" spans="1:8">
      <c r="A140" s="6">
        <v>20031</v>
      </c>
      <c r="B140" s="4" t="s">
        <v>158</v>
      </c>
      <c r="C140" s="4" t="s">
        <v>128</v>
      </c>
      <c r="D140" s="5">
        <v>247</v>
      </c>
      <c r="E140" s="5">
        <v>6</v>
      </c>
      <c r="F140" s="5" t="s">
        <v>15</v>
      </c>
      <c r="G140" s="5">
        <v>130</v>
      </c>
      <c r="H140" s="5">
        <v>117</v>
      </c>
    </row>
    <row r="141" spans="1:8">
      <c r="A141" s="6">
        <v>20032</v>
      </c>
      <c r="B141" s="4" t="s">
        <v>159</v>
      </c>
      <c r="C141" s="4" t="s">
        <v>128</v>
      </c>
      <c r="D141" s="5">
        <v>209</v>
      </c>
      <c r="E141" s="5">
        <v>2</v>
      </c>
      <c r="F141" s="5" t="s">
        <v>15</v>
      </c>
      <c r="G141" s="5">
        <v>99</v>
      </c>
      <c r="H141" s="5">
        <v>110</v>
      </c>
    </row>
    <row r="142" spans="1:8">
      <c r="A142" s="6">
        <v>20033</v>
      </c>
      <c r="B142" s="4" t="s">
        <v>160</v>
      </c>
      <c r="C142" s="4" t="s">
        <v>128</v>
      </c>
      <c r="D142" s="5">
        <v>251</v>
      </c>
      <c r="E142" s="5">
        <v>4</v>
      </c>
      <c r="F142" s="5" t="s">
        <v>15</v>
      </c>
      <c r="G142" s="5">
        <v>135</v>
      </c>
      <c r="H142" s="5">
        <v>116</v>
      </c>
    </row>
    <row r="143" spans="1:8">
      <c r="A143" s="6">
        <v>20034</v>
      </c>
      <c r="B143" s="4" t="s">
        <v>161</v>
      </c>
      <c r="C143" s="4" t="s">
        <v>128</v>
      </c>
      <c r="D143" s="5">
        <v>235</v>
      </c>
      <c r="E143" s="5">
        <v>3</v>
      </c>
      <c r="F143" s="5" t="s">
        <v>15</v>
      </c>
      <c r="G143" s="5">
        <v>122</v>
      </c>
      <c r="H143" s="5">
        <v>113</v>
      </c>
    </row>
    <row r="144" spans="1:8">
      <c r="A144" s="6">
        <v>20035</v>
      </c>
      <c r="B144" s="4" t="s">
        <v>162</v>
      </c>
      <c r="C144" s="4" t="s">
        <v>128</v>
      </c>
      <c r="D144" s="5">
        <v>264</v>
      </c>
      <c r="E144" s="5">
        <v>7</v>
      </c>
      <c r="F144" s="5" t="s">
        <v>15</v>
      </c>
      <c r="G144" s="5">
        <v>135</v>
      </c>
      <c r="H144" s="5">
        <v>129</v>
      </c>
    </row>
    <row r="145" spans="1:8">
      <c r="A145" s="6">
        <v>20036</v>
      </c>
      <c r="B145" s="4" t="s">
        <v>163</v>
      </c>
      <c r="C145" s="4" t="s">
        <v>128</v>
      </c>
      <c r="D145" s="5">
        <v>212</v>
      </c>
      <c r="E145" s="5">
        <v>2</v>
      </c>
      <c r="F145" s="5" t="s">
        <v>15</v>
      </c>
      <c r="G145" s="5">
        <v>113</v>
      </c>
      <c r="H145" s="5">
        <v>99</v>
      </c>
    </row>
    <row r="146" spans="1:8">
      <c r="A146" s="6">
        <v>20037</v>
      </c>
      <c r="B146" s="4" t="s">
        <v>164</v>
      </c>
      <c r="C146" s="4" t="s">
        <v>128</v>
      </c>
      <c r="D146" s="5">
        <v>246</v>
      </c>
      <c r="E146" s="5">
        <v>5</v>
      </c>
      <c r="F146" s="5" t="s">
        <v>15</v>
      </c>
      <c r="G146" s="5">
        <v>129</v>
      </c>
      <c r="H146" s="5">
        <v>117</v>
      </c>
    </row>
    <row r="147" spans="1:8">
      <c r="A147" s="6">
        <v>20038</v>
      </c>
      <c r="B147" s="4" t="s">
        <v>165</v>
      </c>
      <c r="C147" s="4" t="s">
        <v>128</v>
      </c>
      <c r="D147" s="5">
        <v>271</v>
      </c>
      <c r="E147" s="5">
        <v>10</v>
      </c>
      <c r="F147" s="5" t="s">
        <v>15</v>
      </c>
      <c r="G147" s="5">
        <v>133</v>
      </c>
      <c r="H147" s="5">
        <v>138</v>
      </c>
    </row>
    <row r="148" spans="1:8">
      <c r="A148" s="6">
        <v>20039</v>
      </c>
      <c r="B148" s="4" t="s">
        <v>166</v>
      </c>
      <c r="C148" s="4" t="s">
        <v>128</v>
      </c>
      <c r="D148" s="5">
        <v>249</v>
      </c>
      <c r="E148" s="5">
        <v>7</v>
      </c>
      <c r="F148" s="5" t="s">
        <v>15</v>
      </c>
      <c r="G148" s="5">
        <v>128</v>
      </c>
      <c r="H148" s="5">
        <v>121</v>
      </c>
    </row>
    <row r="149" spans="1:8">
      <c r="A149" s="6">
        <v>20040</v>
      </c>
      <c r="B149" s="4" t="s">
        <v>167</v>
      </c>
      <c r="C149" s="4" t="s">
        <v>128</v>
      </c>
      <c r="D149" s="5" t="e">
        <v>#N/A</v>
      </c>
      <c r="E149" s="5" t="e">
        <v>#N/A</v>
      </c>
      <c r="F149" s="5" t="s">
        <v>15</v>
      </c>
      <c r="G149" s="5" t="e">
        <v>#N/A</v>
      </c>
      <c r="H149" s="5" t="e">
        <v>#N/A</v>
      </c>
    </row>
    <row r="150" spans="1:8">
      <c r="A150" s="6">
        <v>20041</v>
      </c>
      <c r="B150" s="4" t="s">
        <v>168</v>
      </c>
      <c r="C150" s="4" t="s">
        <v>128</v>
      </c>
      <c r="D150" s="5">
        <v>262</v>
      </c>
      <c r="E150" s="5">
        <v>8</v>
      </c>
      <c r="F150" s="5" t="s">
        <v>15</v>
      </c>
      <c r="G150" s="5">
        <v>133</v>
      </c>
      <c r="H150" s="5">
        <v>129</v>
      </c>
    </row>
    <row r="151" spans="1:8">
      <c r="A151" s="6">
        <v>20042</v>
      </c>
      <c r="B151" s="4" t="s">
        <v>169</v>
      </c>
      <c r="C151" s="4" t="s">
        <v>128</v>
      </c>
      <c r="D151" s="5">
        <v>245</v>
      </c>
      <c r="E151" s="5">
        <v>3</v>
      </c>
      <c r="F151" s="5" t="s">
        <v>15</v>
      </c>
      <c r="G151" s="5">
        <v>133</v>
      </c>
      <c r="H151" s="5">
        <v>112</v>
      </c>
    </row>
    <row r="152" spans="1:8">
      <c r="A152" s="6">
        <v>20043</v>
      </c>
      <c r="B152" s="4" t="s">
        <v>170</v>
      </c>
      <c r="C152" s="4" t="s">
        <v>128</v>
      </c>
      <c r="D152" s="5">
        <v>278</v>
      </c>
      <c r="E152" s="5">
        <v>15</v>
      </c>
      <c r="F152" s="5" t="s">
        <v>15</v>
      </c>
      <c r="G152" s="5">
        <v>137</v>
      </c>
      <c r="H152" s="5">
        <v>141</v>
      </c>
    </row>
    <row r="153" spans="1:8">
      <c r="A153" s="6">
        <v>20044</v>
      </c>
      <c r="B153" s="4" t="s">
        <v>171</v>
      </c>
      <c r="C153" s="4" t="s">
        <v>128</v>
      </c>
      <c r="D153" s="5">
        <v>266</v>
      </c>
      <c r="E153" s="5">
        <v>7</v>
      </c>
      <c r="F153" s="5" t="s">
        <v>15</v>
      </c>
      <c r="G153" s="5">
        <v>130</v>
      </c>
      <c r="H153" s="5">
        <v>136</v>
      </c>
    </row>
    <row r="154" spans="1:8">
      <c r="A154" s="6">
        <v>20045</v>
      </c>
      <c r="B154" s="4" t="s">
        <v>172</v>
      </c>
      <c r="C154" s="4" t="s">
        <v>128</v>
      </c>
      <c r="D154" s="5">
        <v>251</v>
      </c>
      <c r="E154" s="5">
        <v>7</v>
      </c>
      <c r="F154" s="5" t="s">
        <v>15</v>
      </c>
      <c r="G154" s="5">
        <v>132</v>
      </c>
      <c r="H154" s="5">
        <v>119</v>
      </c>
    </row>
    <row r="155" spans="1:8">
      <c r="A155" s="6">
        <v>20046</v>
      </c>
      <c r="B155" s="4" t="s">
        <v>173</v>
      </c>
      <c r="C155" s="4" t="s">
        <v>128</v>
      </c>
      <c r="D155" s="5">
        <v>230</v>
      </c>
      <c r="E155" s="5">
        <v>4</v>
      </c>
      <c r="F155" s="5" t="s">
        <v>15</v>
      </c>
      <c r="G155" s="5">
        <v>126</v>
      </c>
      <c r="H155" s="5">
        <v>104</v>
      </c>
    </row>
    <row r="156" spans="1:8">
      <c r="A156" s="6">
        <v>20047</v>
      </c>
      <c r="B156" s="4" t="s">
        <v>174</v>
      </c>
      <c r="C156" s="4" t="s">
        <v>128</v>
      </c>
      <c r="D156" s="5">
        <v>259</v>
      </c>
      <c r="E156" s="5">
        <v>9</v>
      </c>
      <c r="F156" s="5" t="s">
        <v>15</v>
      </c>
      <c r="G156" s="5">
        <v>138</v>
      </c>
      <c r="H156" s="5">
        <v>121</v>
      </c>
    </row>
    <row r="157" spans="1:8">
      <c r="A157" s="6">
        <v>20048</v>
      </c>
      <c r="B157" s="4" t="s">
        <v>175</v>
      </c>
      <c r="C157" s="4" t="s">
        <v>128</v>
      </c>
      <c r="D157" s="5">
        <v>255</v>
      </c>
      <c r="E157" s="5">
        <v>6</v>
      </c>
      <c r="F157" s="5" t="s">
        <v>15</v>
      </c>
      <c r="G157" s="5">
        <v>131</v>
      </c>
      <c r="H157" s="5">
        <v>124</v>
      </c>
    </row>
    <row r="158" spans="1:8">
      <c r="A158" s="6">
        <v>20049</v>
      </c>
      <c r="B158" s="4" t="s">
        <v>176</v>
      </c>
      <c r="C158" s="4" t="s">
        <v>128</v>
      </c>
      <c r="D158" s="5" t="e">
        <v>#N/A</v>
      </c>
      <c r="E158" s="5" t="e">
        <v>#N/A</v>
      </c>
      <c r="F158" s="5" t="s">
        <v>15</v>
      </c>
      <c r="G158" s="5" t="e">
        <v>#N/A</v>
      </c>
      <c r="H158" s="5" t="e">
        <v>#N/A</v>
      </c>
    </row>
    <row r="159" spans="1:8">
      <c r="A159" s="6">
        <v>20050</v>
      </c>
      <c r="B159" s="4" t="s">
        <v>177</v>
      </c>
      <c r="C159" s="4" t="s">
        <v>128</v>
      </c>
      <c r="D159" s="5">
        <v>198</v>
      </c>
      <c r="E159" s="5">
        <v>2</v>
      </c>
      <c r="F159" s="5" t="s">
        <v>15</v>
      </c>
      <c r="G159" s="5">
        <v>106</v>
      </c>
      <c r="H159" s="5">
        <v>92</v>
      </c>
    </row>
    <row r="160" spans="1:8">
      <c r="A160" s="6">
        <v>20051</v>
      </c>
      <c r="B160" s="4" t="s">
        <v>178</v>
      </c>
      <c r="C160" s="4" t="s">
        <v>128</v>
      </c>
      <c r="D160" s="5">
        <v>215</v>
      </c>
      <c r="E160" s="5">
        <v>3</v>
      </c>
      <c r="F160" s="5" t="s">
        <v>15</v>
      </c>
      <c r="G160" s="5">
        <v>130</v>
      </c>
      <c r="H160" s="5">
        <v>85</v>
      </c>
    </row>
    <row r="161" spans="1:8">
      <c r="A161" s="6">
        <v>20052</v>
      </c>
      <c r="B161" s="4" t="s">
        <v>179</v>
      </c>
      <c r="C161" s="4" t="s">
        <v>128</v>
      </c>
      <c r="D161" s="5">
        <v>165</v>
      </c>
      <c r="E161" s="5">
        <v>0</v>
      </c>
      <c r="F161" s="5" t="s">
        <v>15</v>
      </c>
      <c r="G161" s="5">
        <v>90</v>
      </c>
      <c r="H161" s="5">
        <v>75</v>
      </c>
    </row>
    <row r="162" spans="1:8">
      <c r="A162" s="6">
        <v>20053</v>
      </c>
      <c r="B162" s="4" t="s">
        <v>180</v>
      </c>
      <c r="C162" s="4" t="s">
        <v>128</v>
      </c>
      <c r="D162" s="5">
        <v>253</v>
      </c>
      <c r="E162" s="5">
        <v>8</v>
      </c>
      <c r="F162" s="5" t="s">
        <v>15</v>
      </c>
      <c r="G162" s="5">
        <v>128</v>
      </c>
      <c r="H162" s="5">
        <v>125</v>
      </c>
    </row>
    <row r="163" spans="1:8">
      <c r="A163" s="6">
        <v>20054</v>
      </c>
      <c r="B163" s="4" t="s">
        <v>181</v>
      </c>
      <c r="C163" s="4" t="s">
        <v>128</v>
      </c>
      <c r="D163" s="5">
        <v>243</v>
      </c>
      <c r="E163" s="5">
        <v>6</v>
      </c>
      <c r="F163" s="5" t="s">
        <v>15</v>
      </c>
      <c r="G163" s="5">
        <v>119</v>
      </c>
      <c r="H163" s="5">
        <v>124</v>
      </c>
    </row>
    <row r="164" spans="1:8">
      <c r="A164" s="6">
        <v>20055</v>
      </c>
      <c r="B164" s="4" t="s">
        <v>182</v>
      </c>
      <c r="C164" s="4" t="s">
        <v>128</v>
      </c>
      <c r="D164" s="5">
        <v>166</v>
      </c>
      <c r="E164" s="5">
        <v>0</v>
      </c>
      <c r="F164" s="5" t="s">
        <v>15</v>
      </c>
      <c r="G164" s="5">
        <v>92</v>
      </c>
      <c r="H164" s="5">
        <v>74</v>
      </c>
    </row>
    <row r="165" spans="1:8">
      <c r="A165" s="6">
        <v>20056</v>
      </c>
      <c r="B165" s="4" t="s">
        <v>183</v>
      </c>
      <c r="C165" s="4" t="s">
        <v>128</v>
      </c>
      <c r="D165" s="5">
        <v>249</v>
      </c>
      <c r="E165" s="5">
        <v>8</v>
      </c>
      <c r="F165" s="5" t="s">
        <v>15</v>
      </c>
      <c r="G165" s="5">
        <v>134</v>
      </c>
      <c r="H165" s="5">
        <v>115</v>
      </c>
    </row>
    <row r="166" spans="1:8">
      <c r="A166" s="6">
        <v>20057</v>
      </c>
      <c r="B166" s="4" t="s">
        <v>184</v>
      </c>
      <c r="C166" s="4" t="s">
        <v>128</v>
      </c>
      <c r="D166" s="5">
        <v>220</v>
      </c>
      <c r="E166" s="5">
        <v>5</v>
      </c>
      <c r="F166" s="5" t="s">
        <v>15</v>
      </c>
      <c r="G166" s="5">
        <v>124</v>
      </c>
      <c r="H166" s="5">
        <v>96</v>
      </c>
    </row>
    <row r="167" spans="1:8">
      <c r="A167" s="6">
        <v>30001</v>
      </c>
      <c r="B167" s="4" t="s">
        <v>185</v>
      </c>
      <c r="C167" s="4" t="s">
        <v>186</v>
      </c>
      <c r="D167" s="5">
        <v>219</v>
      </c>
      <c r="E167" s="5">
        <v>4</v>
      </c>
      <c r="F167" s="5" t="s">
        <v>15</v>
      </c>
      <c r="G167" s="5">
        <v>128</v>
      </c>
      <c r="H167" s="5">
        <v>91</v>
      </c>
    </row>
    <row r="168" spans="1:8">
      <c r="A168" s="6">
        <v>30002</v>
      </c>
      <c r="B168" s="4" t="s">
        <v>187</v>
      </c>
      <c r="C168" s="4" t="s">
        <v>186</v>
      </c>
      <c r="D168" s="5">
        <v>231</v>
      </c>
      <c r="E168" s="5">
        <v>3</v>
      </c>
      <c r="F168" s="5" t="s">
        <v>15</v>
      </c>
      <c r="G168" s="5">
        <v>123</v>
      </c>
      <c r="H168" s="5">
        <v>108</v>
      </c>
    </row>
    <row r="169" spans="1:8">
      <c r="A169" s="6">
        <v>30003</v>
      </c>
      <c r="B169" s="4" t="s">
        <v>188</v>
      </c>
      <c r="C169" s="4" t="s">
        <v>186</v>
      </c>
      <c r="D169" s="5">
        <v>205</v>
      </c>
      <c r="E169" s="5">
        <v>4</v>
      </c>
      <c r="F169" s="5" t="s">
        <v>15</v>
      </c>
      <c r="G169" s="5">
        <v>128</v>
      </c>
      <c r="H169" s="5">
        <v>77</v>
      </c>
    </row>
    <row r="170" spans="1:8">
      <c r="A170" s="6">
        <v>30004</v>
      </c>
      <c r="B170" s="4" t="s">
        <v>189</v>
      </c>
      <c r="C170" s="4" t="s">
        <v>186</v>
      </c>
      <c r="D170" s="5" t="e">
        <v>#N/A</v>
      </c>
      <c r="E170" s="5" t="e">
        <v>#N/A</v>
      </c>
      <c r="F170" s="5" t="s">
        <v>13</v>
      </c>
      <c r="G170" s="5" t="e">
        <v>#N/A</v>
      </c>
      <c r="H170" s="5" t="e">
        <v>#N/A</v>
      </c>
    </row>
    <row r="171" spans="1:8">
      <c r="A171" s="6">
        <v>30005</v>
      </c>
      <c r="B171" s="4" t="s">
        <v>190</v>
      </c>
      <c r="C171" s="4" t="s">
        <v>186</v>
      </c>
      <c r="D171" s="5">
        <v>220</v>
      </c>
      <c r="E171" s="5">
        <v>1</v>
      </c>
      <c r="F171" s="5" t="s">
        <v>13</v>
      </c>
      <c r="G171" s="5">
        <v>119</v>
      </c>
      <c r="H171" s="5">
        <v>101</v>
      </c>
    </row>
    <row r="172" spans="1:8">
      <c r="A172" s="6">
        <v>30006</v>
      </c>
      <c r="B172" s="4" t="s">
        <v>191</v>
      </c>
      <c r="C172" s="4" t="s">
        <v>186</v>
      </c>
      <c r="D172" s="5" t="e">
        <v>#N/A</v>
      </c>
      <c r="E172" s="5" t="e">
        <v>#N/A</v>
      </c>
      <c r="F172" s="5" t="s">
        <v>13</v>
      </c>
      <c r="G172" s="5" t="e">
        <v>#N/A</v>
      </c>
      <c r="H172" s="5" t="e">
        <v>#N/A</v>
      </c>
    </row>
    <row r="173" spans="1:8">
      <c r="A173" s="6">
        <v>30007</v>
      </c>
      <c r="B173" s="4" t="s">
        <v>192</v>
      </c>
      <c r="C173" s="4" t="s">
        <v>186</v>
      </c>
      <c r="D173" s="5">
        <v>258</v>
      </c>
      <c r="E173" s="5">
        <v>7</v>
      </c>
      <c r="F173" s="5" t="s">
        <v>13</v>
      </c>
      <c r="G173" s="5">
        <v>135</v>
      </c>
      <c r="H173" s="5">
        <v>123</v>
      </c>
    </row>
    <row r="174" spans="1:8">
      <c r="A174" s="6">
        <v>30008</v>
      </c>
      <c r="B174" s="4" t="s">
        <v>193</v>
      </c>
      <c r="C174" s="4" t="s">
        <v>186</v>
      </c>
      <c r="D174" s="5">
        <v>175</v>
      </c>
      <c r="E174" s="5">
        <v>0</v>
      </c>
      <c r="F174" s="5" t="s">
        <v>13</v>
      </c>
      <c r="G174" s="5">
        <v>84</v>
      </c>
      <c r="H174" s="5">
        <v>91</v>
      </c>
    </row>
    <row r="175" spans="1:8">
      <c r="A175" s="6">
        <v>30009</v>
      </c>
      <c r="B175" s="4" t="s">
        <v>194</v>
      </c>
      <c r="C175" s="4" t="s">
        <v>186</v>
      </c>
      <c r="D175" s="5">
        <v>207</v>
      </c>
      <c r="E175" s="5">
        <v>1</v>
      </c>
      <c r="F175" s="5" t="s">
        <v>13</v>
      </c>
      <c r="G175" s="5">
        <v>113</v>
      </c>
      <c r="H175" s="5">
        <v>94</v>
      </c>
    </row>
    <row r="176" spans="1:8">
      <c r="A176" s="6">
        <v>30010</v>
      </c>
      <c r="B176" s="4" t="s">
        <v>195</v>
      </c>
      <c r="C176" s="4" t="s">
        <v>186</v>
      </c>
      <c r="D176" s="5">
        <v>184</v>
      </c>
      <c r="E176" s="5">
        <v>1</v>
      </c>
      <c r="F176" s="5" t="s">
        <v>15</v>
      </c>
      <c r="G176" s="5">
        <v>110</v>
      </c>
      <c r="H176" s="5">
        <v>74</v>
      </c>
    </row>
    <row r="177" spans="1:8">
      <c r="A177" s="6">
        <v>30011</v>
      </c>
      <c r="B177" s="4" t="s">
        <v>196</v>
      </c>
      <c r="C177" s="4" t="s">
        <v>186</v>
      </c>
      <c r="D177" s="5">
        <v>273</v>
      </c>
      <c r="E177" s="5">
        <v>12</v>
      </c>
      <c r="F177" s="5" t="s">
        <v>13</v>
      </c>
      <c r="G177" s="5">
        <v>140</v>
      </c>
      <c r="H177" s="5">
        <v>133</v>
      </c>
    </row>
    <row r="178" spans="1:8">
      <c r="A178" s="6">
        <v>30012</v>
      </c>
      <c r="B178" s="4" t="s">
        <v>197</v>
      </c>
      <c r="C178" s="4" t="s">
        <v>186</v>
      </c>
      <c r="D178" s="5">
        <v>265</v>
      </c>
      <c r="E178" s="5">
        <v>6</v>
      </c>
      <c r="F178" s="5" t="s">
        <v>13</v>
      </c>
      <c r="G178" s="5">
        <v>133</v>
      </c>
      <c r="H178" s="5">
        <v>132</v>
      </c>
    </row>
    <row r="179" spans="1:8">
      <c r="A179" s="6">
        <v>30013</v>
      </c>
      <c r="B179" s="4" t="s">
        <v>198</v>
      </c>
      <c r="C179" s="4" t="s">
        <v>186</v>
      </c>
      <c r="D179" s="5">
        <v>215</v>
      </c>
      <c r="E179" s="5">
        <v>1</v>
      </c>
      <c r="F179" s="5" t="s">
        <v>13</v>
      </c>
      <c r="G179" s="5">
        <v>107</v>
      </c>
      <c r="H179" s="5">
        <v>108</v>
      </c>
    </row>
    <row r="180" spans="1:8">
      <c r="A180" s="6">
        <v>30014</v>
      </c>
      <c r="B180" s="4" t="s">
        <v>199</v>
      </c>
      <c r="C180" s="4" t="s">
        <v>186</v>
      </c>
      <c r="D180" s="5">
        <v>251</v>
      </c>
      <c r="E180" s="5">
        <v>5</v>
      </c>
      <c r="F180" s="5" t="s">
        <v>15</v>
      </c>
      <c r="G180" s="5">
        <v>138</v>
      </c>
      <c r="H180" s="5">
        <v>113</v>
      </c>
    </row>
    <row r="181" spans="1:8">
      <c r="A181" s="6">
        <v>40001</v>
      </c>
      <c r="B181" s="4" t="s">
        <v>200</v>
      </c>
      <c r="C181" s="4" t="s">
        <v>201</v>
      </c>
      <c r="D181" s="5">
        <v>193</v>
      </c>
      <c r="E181" s="5">
        <v>3</v>
      </c>
      <c r="F181" s="5" t="s">
        <v>15</v>
      </c>
      <c r="G181" s="5">
        <v>105</v>
      </c>
      <c r="H181" s="5">
        <v>88</v>
      </c>
    </row>
    <row r="182" spans="1:8">
      <c r="A182" s="6">
        <v>40002</v>
      </c>
      <c r="B182" s="4" t="s">
        <v>202</v>
      </c>
      <c r="C182" s="4" t="s">
        <v>201</v>
      </c>
      <c r="D182" s="5">
        <v>86</v>
      </c>
      <c r="E182" s="5">
        <v>2</v>
      </c>
      <c r="F182" s="5" t="s">
        <v>15</v>
      </c>
      <c r="G182" s="5">
        <v>68</v>
      </c>
      <c r="H182" s="5">
        <v>18</v>
      </c>
    </row>
    <row r="183" spans="1:8">
      <c r="A183" s="6">
        <v>40003</v>
      </c>
      <c r="B183" s="4" t="s">
        <v>203</v>
      </c>
      <c r="C183" s="4" t="s">
        <v>201</v>
      </c>
      <c r="D183" s="5" t="e">
        <v>#N/A</v>
      </c>
      <c r="E183" s="5" t="e">
        <v>#N/A</v>
      </c>
      <c r="F183" s="5" t="s">
        <v>15</v>
      </c>
      <c r="G183" s="5" t="e">
        <v>#N/A</v>
      </c>
      <c r="H183" s="5" t="e">
        <v>#N/A</v>
      </c>
    </row>
    <row r="184" spans="1:8">
      <c r="A184" s="6">
        <v>40004</v>
      </c>
      <c r="B184" s="4" t="s">
        <v>204</v>
      </c>
      <c r="C184" s="4" t="s">
        <v>201</v>
      </c>
      <c r="D184" s="5">
        <v>100</v>
      </c>
      <c r="E184" s="5">
        <v>0</v>
      </c>
      <c r="F184" s="5" t="s">
        <v>13</v>
      </c>
      <c r="G184" s="5">
        <v>74</v>
      </c>
      <c r="H184" s="5">
        <v>26</v>
      </c>
    </row>
    <row r="185" spans="1:8">
      <c r="A185" s="6">
        <v>40005</v>
      </c>
      <c r="B185" s="4" t="s">
        <v>205</v>
      </c>
      <c r="C185" s="4" t="s">
        <v>201</v>
      </c>
      <c r="D185" s="5">
        <v>190</v>
      </c>
      <c r="E185" s="5">
        <v>1</v>
      </c>
      <c r="F185" s="5" t="s">
        <v>13</v>
      </c>
      <c r="G185" s="5">
        <v>110</v>
      </c>
      <c r="H185" s="5">
        <v>80</v>
      </c>
    </row>
    <row r="186" spans="1:8">
      <c r="A186" s="6">
        <v>40006</v>
      </c>
      <c r="B186" s="4" t="s">
        <v>206</v>
      </c>
      <c r="C186" s="4" t="s">
        <v>201</v>
      </c>
      <c r="D186" s="5">
        <v>190</v>
      </c>
      <c r="E186" s="5">
        <v>0</v>
      </c>
      <c r="F186" s="5" t="s">
        <v>13</v>
      </c>
      <c r="G186" s="5">
        <v>104</v>
      </c>
      <c r="H186" s="5">
        <v>86</v>
      </c>
    </row>
    <row r="187" spans="1:8">
      <c r="A187" s="6">
        <v>40007</v>
      </c>
      <c r="B187" s="4" t="s">
        <v>207</v>
      </c>
      <c r="C187" s="4" t="s">
        <v>201</v>
      </c>
      <c r="D187" s="5">
        <v>244</v>
      </c>
      <c r="E187" s="5">
        <v>3</v>
      </c>
      <c r="F187" s="5" t="s">
        <v>13</v>
      </c>
      <c r="G187" s="5">
        <v>127</v>
      </c>
      <c r="H187" s="5">
        <v>117</v>
      </c>
    </row>
    <row r="188" spans="1:8">
      <c r="A188" s="6">
        <v>40008</v>
      </c>
      <c r="B188" s="4" t="s">
        <v>208</v>
      </c>
      <c r="C188" s="4" t="s">
        <v>201</v>
      </c>
      <c r="D188" s="5">
        <v>102</v>
      </c>
      <c r="E188" s="5">
        <v>0</v>
      </c>
      <c r="F188" s="5" t="s">
        <v>13</v>
      </c>
      <c r="G188" s="5">
        <v>73</v>
      </c>
      <c r="H188" s="5">
        <v>29</v>
      </c>
    </row>
    <row r="189" spans="1:8">
      <c r="A189" s="6">
        <v>40009</v>
      </c>
      <c r="B189" s="4" t="s">
        <v>209</v>
      </c>
      <c r="C189" s="4" t="s">
        <v>201</v>
      </c>
      <c r="D189" s="5">
        <v>239</v>
      </c>
      <c r="E189" s="5">
        <v>8</v>
      </c>
      <c r="F189" s="5" t="s">
        <v>13</v>
      </c>
      <c r="G189" s="5">
        <v>134</v>
      </c>
      <c r="H189" s="5">
        <v>105</v>
      </c>
    </row>
    <row r="190" spans="1:8">
      <c r="A190" s="6">
        <v>40010</v>
      </c>
      <c r="B190" s="4" t="s">
        <v>210</v>
      </c>
      <c r="C190" s="4" t="s">
        <v>201</v>
      </c>
      <c r="D190" s="5">
        <v>210</v>
      </c>
      <c r="E190" s="5">
        <v>2</v>
      </c>
      <c r="F190" s="5" t="s">
        <v>13</v>
      </c>
      <c r="G190" s="5">
        <v>122</v>
      </c>
      <c r="H190" s="5">
        <v>88</v>
      </c>
    </row>
    <row r="191" spans="1:8">
      <c r="A191" s="6">
        <v>40011</v>
      </c>
      <c r="B191" s="4" t="s">
        <v>211</v>
      </c>
      <c r="C191" s="4" t="s">
        <v>201</v>
      </c>
      <c r="D191" s="5">
        <v>216</v>
      </c>
      <c r="E191" s="5">
        <v>5</v>
      </c>
      <c r="F191" s="5" t="s">
        <v>15</v>
      </c>
      <c r="G191" s="5">
        <v>121</v>
      </c>
      <c r="H191" s="5">
        <v>95</v>
      </c>
    </row>
    <row r="192" spans="1:8">
      <c r="A192" s="6">
        <v>40012</v>
      </c>
      <c r="B192" s="4" t="s">
        <v>212</v>
      </c>
      <c r="C192" s="4" t="s">
        <v>201</v>
      </c>
      <c r="D192" s="5">
        <v>215</v>
      </c>
      <c r="E192" s="5">
        <v>5</v>
      </c>
      <c r="F192" s="5" t="s">
        <v>15</v>
      </c>
      <c r="G192" s="5">
        <v>127</v>
      </c>
      <c r="H192" s="5">
        <v>88</v>
      </c>
    </row>
    <row r="193" spans="1:8">
      <c r="A193" s="6">
        <v>40013</v>
      </c>
      <c r="B193" s="4" t="s">
        <v>213</v>
      </c>
      <c r="C193" s="4" t="s">
        <v>201</v>
      </c>
      <c r="D193" s="5" t="e">
        <v>#N/A</v>
      </c>
      <c r="E193" s="5" t="e">
        <v>#N/A</v>
      </c>
      <c r="F193" s="5" t="s">
        <v>15</v>
      </c>
      <c r="G193" s="5" t="e">
        <v>#N/A</v>
      </c>
      <c r="H193" s="5" t="e">
        <v>#N/A</v>
      </c>
    </row>
    <row r="194" spans="1:8">
      <c r="A194" s="6">
        <v>40014</v>
      </c>
      <c r="B194" s="4" t="s">
        <v>214</v>
      </c>
      <c r="C194" s="4" t="s">
        <v>201</v>
      </c>
      <c r="D194" s="5" t="e">
        <v>#N/A</v>
      </c>
      <c r="E194" s="5" t="e">
        <v>#N/A</v>
      </c>
      <c r="F194" s="5" t="s">
        <v>15</v>
      </c>
      <c r="G194" s="5" t="e">
        <v>#N/A</v>
      </c>
      <c r="H194" s="5" t="e">
        <v>#N/A</v>
      </c>
    </row>
    <row r="195" spans="1:8">
      <c r="A195" s="6">
        <v>40015</v>
      </c>
      <c r="B195" s="4" t="s">
        <v>215</v>
      </c>
      <c r="C195" s="4" t="s">
        <v>201</v>
      </c>
      <c r="D195" s="5">
        <v>188</v>
      </c>
      <c r="E195" s="5">
        <v>3</v>
      </c>
      <c r="F195" s="5" t="s">
        <v>15</v>
      </c>
      <c r="G195" s="5">
        <v>120</v>
      </c>
      <c r="H195" s="5">
        <v>68</v>
      </c>
    </row>
    <row r="196" spans="1:8">
      <c r="A196" s="6">
        <v>40016</v>
      </c>
      <c r="B196" s="4" t="s">
        <v>216</v>
      </c>
      <c r="C196" s="4" t="s">
        <v>201</v>
      </c>
      <c r="D196" s="5">
        <v>87</v>
      </c>
      <c r="E196" s="5">
        <v>0</v>
      </c>
      <c r="F196" s="5" t="s">
        <v>15</v>
      </c>
      <c r="G196" s="5">
        <v>58</v>
      </c>
      <c r="H196" s="5">
        <v>29</v>
      </c>
    </row>
    <row r="197" spans="1:8">
      <c r="A197" s="6">
        <v>40017</v>
      </c>
      <c r="B197" s="4" t="s">
        <v>217</v>
      </c>
      <c r="C197" s="4" t="s">
        <v>201</v>
      </c>
      <c r="D197" s="5" t="e">
        <v>#N/A</v>
      </c>
      <c r="E197" s="5" t="e">
        <v>#N/A</v>
      </c>
      <c r="F197" s="5" t="s">
        <v>13</v>
      </c>
      <c r="G197" s="5" t="e">
        <v>#N/A</v>
      </c>
      <c r="H197" s="5" t="e">
        <v>#N/A</v>
      </c>
    </row>
    <row r="198" spans="1:8">
      <c r="A198" s="6">
        <v>40018</v>
      </c>
      <c r="B198" s="4" t="s">
        <v>218</v>
      </c>
      <c r="C198" s="4" t="s">
        <v>201</v>
      </c>
      <c r="D198" s="5" t="e">
        <v>#N/A</v>
      </c>
      <c r="E198" s="5" t="e">
        <v>#N/A</v>
      </c>
      <c r="F198" s="5" t="s">
        <v>13</v>
      </c>
      <c r="G198" s="5" t="e">
        <v>#N/A</v>
      </c>
      <c r="H198" s="5" t="e">
        <v>#N/A</v>
      </c>
    </row>
    <row r="199" spans="1:8">
      <c r="A199" s="6">
        <v>40019</v>
      </c>
      <c r="B199" s="4" t="s">
        <v>219</v>
      </c>
      <c r="C199" s="4" t="s">
        <v>201</v>
      </c>
      <c r="D199" s="5">
        <v>212</v>
      </c>
      <c r="E199" s="5">
        <v>2</v>
      </c>
      <c r="F199" s="5" t="s">
        <v>15</v>
      </c>
      <c r="G199" s="5">
        <v>115</v>
      </c>
      <c r="H199" s="5">
        <v>97</v>
      </c>
    </row>
    <row r="200" spans="1:8">
      <c r="A200" s="6">
        <v>40020</v>
      </c>
      <c r="B200" s="4" t="s">
        <v>220</v>
      </c>
      <c r="C200" s="4" t="s">
        <v>201</v>
      </c>
      <c r="D200" s="5">
        <v>156</v>
      </c>
      <c r="E200" s="5">
        <v>2</v>
      </c>
      <c r="F200" s="5" t="s">
        <v>15</v>
      </c>
      <c r="G200" s="5">
        <v>93</v>
      </c>
      <c r="H200" s="5">
        <v>63</v>
      </c>
    </row>
    <row r="201" spans="1:8">
      <c r="A201" s="6">
        <v>40021</v>
      </c>
      <c r="B201" s="4" t="s">
        <v>221</v>
      </c>
      <c r="C201" s="4" t="s">
        <v>201</v>
      </c>
      <c r="D201" s="5">
        <v>183</v>
      </c>
      <c r="E201" s="5">
        <v>2</v>
      </c>
      <c r="F201" s="5" t="s">
        <v>13</v>
      </c>
      <c r="G201" s="5">
        <v>114</v>
      </c>
      <c r="H201" s="5">
        <v>69</v>
      </c>
    </row>
    <row r="202" spans="1:8">
      <c r="A202" s="6">
        <v>40022</v>
      </c>
      <c r="B202" s="4" t="s">
        <v>222</v>
      </c>
      <c r="C202" s="4" t="s">
        <v>201</v>
      </c>
      <c r="D202" s="5">
        <v>230</v>
      </c>
      <c r="E202" s="5">
        <v>2</v>
      </c>
      <c r="F202" s="5" t="s">
        <v>13</v>
      </c>
      <c r="G202" s="5">
        <v>126</v>
      </c>
      <c r="H202" s="5">
        <v>104</v>
      </c>
    </row>
    <row r="203" spans="1:8">
      <c r="A203" s="6">
        <v>50001</v>
      </c>
      <c r="B203" s="4" t="s">
        <v>223</v>
      </c>
      <c r="C203" s="4" t="s">
        <v>224</v>
      </c>
      <c r="D203" s="5">
        <v>164</v>
      </c>
      <c r="E203" s="5">
        <v>1</v>
      </c>
      <c r="F203" s="5" t="s">
        <v>13</v>
      </c>
      <c r="G203" s="5">
        <v>87</v>
      </c>
      <c r="H203" s="5">
        <v>77</v>
      </c>
    </row>
    <row r="204" spans="1:8">
      <c r="A204" s="6">
        <v>60001</v>
      </c>
      <c r="B204" s="4" t="s">
        <v>225</v>
      </c>
      <c r="C204" s="4" t="s">
        <v>226</v>
      </c>
      <c r="D204" s="5">
        <v>249</v>
      </c>
      <c r="E204" s="5">
        <v>5</v>
      </c>
      <c r="F204" s="5" t="s">
        <v>15</v>
      </c>
      <c r="G204" s="5">
        <v>134</v>
      </c>
      <c r="H204" s="5">
        <v>115</v>
      </c>
    </row>
    <row r="205" spans="1:8">
      <c r="A205" s="6">
        <v>60002</v>
      </c>
      <c r="B205" s="4" t="s">
        <v>227</v>
      </c>
      <c r="C205" s="4" t="s">
        <v>226</v>
      </c>
      <c r="D205" s="5">
        <v>225</v>
      </c>
      <c r="E205" s="5">
        <v>4</v>
      </c>
      <c r="F205" s="5" t="s">
        <v>15</v>
      </c>
      <c r="G205" s="5">
        <v>128</v>
      </c>
      <c r="H205" s="5">
        <v>97</v>
      </c>
    </row>
    <row r="206" spans="1:8">
      <c r="A206" s="6">
        <v>70001</v>
      </c>
      <c r="B206" s="4" t="s">
        <v>228</v>
      </c>
      <c r="C206" s="4" t="s">
        <v>229</v>
      </c>
      <c r="D206" s="5">
        <v>262</v>
      </c>
      <c r="E206" s="5">
        <v>7</v>
      </c>
      <c r="F206" s="5" t="s">
        <v>15</v>
      </c>
      <c r="G206" s="5">
        <v>133</v>
      </c>
      <c r="H206" s="5">
        <v>129</v>
      </c>
    </row>
    <row r="207" spans="1:8">
      <c r="A207" s="6">
        <v>70002</v>
      </c>
      <c r="B207" s="4" t="s">
        <v>230</v>
      </c>
      <c r="C207" s="4" t="s">
        <v>229</v>
      </c>
      <c r="D207" s="5">
        <v>265</v>
      </c>
      <c r="E207" s="5">
        <v>10</v>
      </c>
      <c r="F207" s="5" t="s">
        <v>13</v>
      </c>
      <c r="G207" s="5">
        <v>139</v>
      </c>
      <c r="H207" s="5">
        <v>126</v>
      </c>
    </row>
    <row r="208" spans="1:8">
      <c r="A208" s="6">
        <v>70003</v>
      </c>
      <c r="B208" s="4" t="s">
        <v>231</v>
      </c>
      <c r="C208" s="4" t="s">
        <v>229</v>
      </c>
      <c r="D208" s="5">
        <v>254</v>
      </c>
      <c r="E208" s="5">
        <v>5</v>
      </c>
      <c r="F208" s="5" t="s">
        <v>15</v>
      </c>
      <c r="G208" s="5">
        <v>133</v>
      </c>
      <c r="H208" s="5">
        <v>121</v>
      </c>
    </row>
    <row r="209" spans="1:8">
      <c r="A209" s="6">
        <v>70004</v>
      </c>
      <c r="B209" s="4" t="s">
        <v>232</v>
      </c>
      <c r="C209" s="4" t="s">
        <v>229</v>
      </c>
      <c r="D209" s="5">
        <v>260</v>
      </c>
      <c r="E209" s="5">
        <v>7</v>
      </c>
      <c r="F209" s="5" t="s">
        <v>13</v>
      </c>
      <c r="G209" s="5">
        <v>136</v>
      </c>
      <c r="H209" s="5">
        <v>124</v>
      </c>
    </row>
    <row r="210" spans="1:8">
      <c r="A210" s="6">
        <v>70005</v>
      </c>
      <c r="B210" s="4" t="s">
        <v>233</v>
      </c>
      <c r="C210" s="4" t="s">
        <v>229</v>
      </c>
      <c r="D210" s="5">
        <v>250</v>
      </c>
      <c r="E210" s="5">
        <v>4</v>
      </c>
      <c r="F210" s="5" t="s">
        <v>13</v>
      </c>
      <c r="G210" s="5">
        <v>130</v>
      </c>
      <c r="H210" s="5">
        <v>120</v>
      </c>
    </row>
    <row r="211" spans="1:8">
      <c r="A211" s="6">
        <v>70006</v>
      </c>
      <c r="B211" s="4" t="s">
        <v>234</v>
      </c>
      <c r="C211" s="4" t="s">
        <v>229</v>
      </c>
      <c r="D211" s="5" t="e">
        <v>#N/A</v>
      </c>
      <c r="E211" s="5" t="e">
        <v>#N/A</v>
      </c>
      <c r="F211" s="5" t="s">
        <v>13</v>
      </c>
      <c r="G211" s="5" t="e">
        <v>#N/A</v>
      </c>
      <c r="H211" s="5" t="e">
        <v>#N/A</v>
      </c>
    </row>
    <row r="212" spans="1:8">
      <c r="A212" s="6">
        <v>70007</v>
      </c>
      <c r="B212" s="4" t="s">
        <v>235</v>
      </c>
      <c r="C212" s="4" t="s">
        <v>229</v>
      </c>
      <c r="D212" s="5" t="e">
        <v>#N/A</v>
      </c>
      <c r="E212" s="5" t="e">
        <v>#N/A</v>
      </c>
      <c r="F212" s="5" t="s">
        <v>15</v>
      </c>
      <c r="G212" s="5" t="e">
        <v>#N/A</v>
      </c>
      <c r="H212" s="5" t="e">
        <v>#N/A</v>
      </c>
    </row>
    <row r="213" spans="1:8">
      <c r="A213" s="6">
        <v>70008</v>
      </c>
      <c r="B213" s="4" t="s">
        <v>236</v>
      </c>
      <c r="C213" s="4" t="s">
        <v>229</v>
      </c>
      <c r="D213" s="5">
        <v>226</v>
      </c>
      <c r="E213" s="5">
        <v>2</v>
      </c>
      <c r="F213" s="5" t="s">
        <v>13</v>
      </c>
      <c r="G213" s="5">
        <v>119</v>
      </c>
      <c r="H213" s="5">
        <v>107</v>
      </c>
    </row>
    <row r="214" spans="1:8">
      <c r="A214" s="6">
        <v>70009</v>
      </c>
      <c r="B214" s="4" t="s">
        <v>237</v>
      </c>
      <c r="C214" s="4" t="s">
        <v>229</v>
      </c>
      <c r="D214" s="5">
        <v>223</v>
      </c>
      <c r="E214" s="5">
        <v>4</v>
      </c>
      <c r="F214" s="5" t="s">
        <v>13</v>
      </c>
      <c r="G214" s="5">
        <v>123</v>
      </c>
      <c r="H214" s="5">
        <v>100</v>
      </c>
    </row>
    <row r="215" spans="1:8">
      <c r="A215" s="6">
        <v>70010</v>
      </c>
      <c r="B215" s="4" t="s">
        <v>238</v>
      </c>
      <c r="C215" s="4" t="s">
        <v>229</v>
      </c>
      <c r="D215" s="5">
        <v>250</v>
      </c>
      <c r="E215" s="5">
        <v>6</v>
      </c>
      <c r="F215" s="5" t="s">
        <v>15</v>
      </c>
      <c r="G215" s="5">
        <v>132</v>
      </c>
      <c r="H215" s="5">
        <v>118</v>
      </c>
    </row>
    <row r="216" spans="1:8">
      <c r="A216" s="6">
        <v>70011</v>
      </c>
      <c r="B216" s="4" t="s">
        <v>239</v>
      </c>
      <c r="C216" s="4" t="s">
        <v>229</v>
      </c>
      <c r="D216" s="5">
        <v>215</v>
      </c>
      <c r="E216" s="5">
        <v>6</v>
      </c>
      <c r="F216" s="5" t="s">
        <v>15</v>
      </c>
      <c r="G216" s="5">
        <v>125</v>
      </c>
      <c r="H216" s="5">
        <v>90</v>
      </c>
    </row>
    <row r="217" spans="1:8">
      <c r="A217" s="6">
        <v>70012</v>
      </c>
      <c r="B217" s="4" t="s">
        <v>240</v>
      </c>
      <c r="C217" s="4" t="s">
        <v>229</v>
      </c>
      <c r="D217" s="5">
        <v>248</v>
      </c>
      <c r="E217" s="5">
        <v>2</v>
      </c>
      <c r="F217" s="5" t="s">
        <v>15</v>
      </c>
      <c r="G217" s="5">
        <v>128</v>
      </c>
      <c r="H217" s="5">
        <v>120</v>
      </c>
    </row>
    <row r="218" spans="1:8">
      <c r="A218" s="6">
        <v>70013</v>
      </c>
      <c r="B218" s="4" t="s">
        <v>241</v>
      </c>
      <c r="C218" s="4" t="s">
        <v>229</v>
      </c>
      <c r="D218" s="5">
        <v>263</v>
      </c>
      <c r="E218" s="5">
        <v>10</v>
      </c>
      <c r="F218" s="5" t="s">
        <v>15</v>
      </c>
      <c r="G218" s="5">
        <v>139</v>
      </c>
      <c r="H218" s="5">
        <v>124</v>
      </c>
    </row>
    <row r="219" spans="1:8">
      <c r="A219" s="6">
        <v>70014</v>
      </c>
      <c r="B219" s="4" t="s">
        <v>242</v>
      </c>
      <c r="C219" s="4" t="s">
        <v>229</v>
      </c>
      <c r="D219" s="5">
        <v>259</v>
      </c>
      <c r="E219" s="5">
        <v>5</v>
      </c>
      <c r="F219" s="5" t="s">
        <v>15</v>
      </c>
      <c r="G219" s="5">
        <v>137</v>
      </c>
      <c r="H219" s="5">
        <v>122</v>
      </c>
    </row>
    <row r="220" spans="1:8">
      <c r="A220" s="6">
        <v>70015</v>
      </c>
      <c r="B220" s="4" t="s">
        <v>243</v>
      </c>
      <c r="C220" s="4" t="s">
        <v>229</v>
      </c>
      <c r="D220" s="5">
        <v>245</v>
      </c>
      <c r="E220" s="5">
        <v>4</v>
      </c>
      <c r="F220" s="5" t="s">
        <v>13</v>
      </c>
      <c r="G220" s="5">
        <v>132</v>
      </c>
      <c r="H220" s="5">
        <v>113</v>
      </c>
    </row>
    <row r="221" spans="1:8">
      <c r="A221" s="6">
        <v>70016</v>
      </c>
      <c r="B221" s="4" t="s">
        <v>244</v>
      </c>
      <c r="C221" s="4" t="s">
        <v>229</v>
      </c>
      <c r="D221" s="5">
        <v>242</v>
      </c>
      <c r="E221" s="5">
        <v>3</v>
      </c>
      <c r="F221" s="5" t="s">
        <v>15</v>
      </c>
      <c r="G221" s="5">
        <v>127</v>
      </c>
      <c r="H221" s="5">
        <v>115</v>
      </c>
    </row>
    <row r="222" spans="1:8">
      <c r="A222" s="6">
        <v>70017</v>
      </c>
      <c r="B222" s="4" t="s">
        <v>245</v>
      </c>
      <c r="C222" s="4" t="s">
        <v>229</v>
      </c>
      <c r="D222" s="5">
        <v>231</v>
      </c>
      <c r="E222" s="5">
        <v>4</v>
      </c>
      <c r="F222" s="5" t="s">
        <v>13</v>
      </c>
      <c r="G222" s="5">
        <v>120</v>
      </c>
      <c r="H222" s="5">
        <v>111</v>
      </c>
    </row>
    <row r="223" spans="1:8">
      <c r="A223" s="6">
        <v>70018</v>
      </c>
      <c r="B223" s="4" t="s">
        <v>246</v>
      </c>
      <c r="C223" s="4" t="s">
        <v>229</v>
      </c>
      <c r="D223" s="5">
        <v>267</v>
      </c>
      <c r="E223" s="5">
        <v>10</v>
      </c>
      <c r="F223" s="5" t="s">
        <v>13</v>
      </c>
      <c r="G223" s="5">
        <v>135</v>
      </c>
      <c r="H223" s="5">
        <v>132</v>
      </c>
    </row>
    <row r="224" spans="1:8">
      <c r="A224" s="6">
        <v>70019</v>
      </c>
      <c r="B224" s="4" t="s">
        <v>247</v>
      </c>
      <c r="C224" s="4" t="s">
        <v>229</v>
      </c>
      <c r="D224" s="5">
        <v>259</v>
      </c>
      <c r="E224" s="5">
        <v>6</v>
      </c>
      <c r="F224" s="5" t="s">
        <v>13</v>
      </c>
      <c r="G224" s="5">
        <v>137</v>
      </c>
      <c r="H224" s="5">
        <v>122</v>
      </c>
    </row>
    <row r="225" spans="1:8">
      <c r="A225" s="6">
        <v>70020</v>
      </c>
      <c r="B225" s="4" t="s">
        <v>248</v>
      </c>
      <c r="C225" s="4" t="s">
        <v>229</v>
      </c>
      <c r="D225" s="5">
        <v>260</v>
      </c>
      <c r="E225" s="5">
        <v>11</v>
      </c>
      <c r="F225" s="5" t="s">
        <v>13</v>
      </c>
      <c r="G225" s="5">
        <v>143</v>
      </c>
      <c r="H225" s="5">
        <v>117</v>
      </c>
    </row>
    <row r="226" spans="1:8">
      <c r="A226" s="6">
        <v>70021</v>
      </c>
      <c r="B226" s="4" t="s">
        <v>249</v>
      </c>
      <c r="C226" s="4" t="s">
        <v>229</v>
      </c>
      <c r="D226" s="5">
        <v>272</v>
      </c>
      <c r="E226" s="5">
        <v>10</v>
      </c>
      <c r="F226" s="5" t="s">
        <v>13</v>
      </c>
      <c r="G226" s="5">
        <v>143</v>
      </c>
      <c r="H226" s="5">
        <v>129</v>
      </c>
    </row>
    <row r="227" spans="1:8">
      <c r="A227" s="6">
        <v>70022</v>
      </c>
      <c r="B227" s="4" t="s">
        <v>250</v>
      </c>
      <c r="C227" s="4" t="s">
        <v>229</v>
      </c>
      <c r="D227" s="5">
        <v>257</v>
      </c>
      <c r="E227" s="5">
        <v>4</v>
      </c>
      <c r="F227" s="5" t="s">
        <v>13</v>
      </c>
      <c r="G227" s="5">
        <v>132</v>
      </c>
      <c r="H227" s="5">
        <v>125</v>
      </c>
    </row>
    <row r="228" spans="1:8">
      <c r="A228" s="6">
        <v>70023</v>
      </c>
      <c r="B228" s="4" t="s">
        <v>251</v>
      </c>
      <c r="C228" s="4" t="s">
        <v>229</v>
      </c>
      <c r="D228" s="5">
        <v>252</v>
      </c>
      <c r="E228" s="5">
        <v>5</v>
      </c>
      <c r="F228" s="5" t="s">
        <v>13</v>
      </c>
      <c r="G228" s="5">
        <v>132</v>
      </c>
      <c r="H228" s="5">
        <v>120</v>
      </c>
    </row>
    <row r="229" spans="1:8">
      <c r="A229" s="6">
        <v>70024</v>
      </c>
      <c r="B229" s="4" t="s">
        <v>252</v>
      </c>
      <c r="C229" s="4" t="s">
        <v>229</v>
      </c>
      <c r="D229" s="5">
        <v>268</v>
      </c>
      <c r="E229" s="5">
        <v>11</v>
      </c>
      <c r="F229" s="5" t="s">
        <v>13</v>
      </c>
      <c r="G229" s="5">
        <v>140</v>
      </c>
      <c r="H229" s="5">
        <v>128</v>
      </c>
    </row>
    <row r="230" spans="1:8">
      <c r="A230" s="6">
        <v>70025</v>
      </c>
      <c r="B230" s="4" t="s">
        <v>253</v>
      </c>
      <c r="C230" s="4" t="s">
        <v>229</v>
      </c>
      <c r="D230" s="5">
        <v>209</v>
      </c>
      <c r="E230" s="5">
        <v>7</v>
      </c>
      <c r="F230" s="5" t="s">
        <v>15</v>
      </c>
      <c r="G230" s="5">
        <v>132</v>
      </c>
      <c r="H230" s="5">
        <v>77</v>
      </c>
    </row>
    <row r="231" spans="1:8">
      <c r="A231" s="6">
        <v>70026</v>
      </c>
      <c r="B231" s="4" t="s">
        <v>254</v>
      </c>
      <c r="C231" s="4" t="s">
        <v>229</v>
      </c>
      <c r="D231" s="5">
        <v>217</v>
      </c>
      <c r="E231" s="5">
        <v>4</v>
      </c>
      <c r="F231" s="5" t="s">
        <v>13</v>
      </c>
      <c r="G231" s="5">
        <v>107</v>
      </c>
      <c r="H231" s="5">
        <v>110</v>
      </c>
    </row>
    <row r="232" spans="1:8">
      <c r="A232" s="6">
        <v>70027</v>
      </c>
      <c r="B232" s="4" t="s">
        <v>255</v>
      </c>
      <c r="C232" s="4" t="s">
        <v>229</v>
      </c>
      <c r="D232" s="5">
        <v>245</v>
      </c>
      <c r="E232" s="5">
        <v>6</v>
      </c>
      <c r="F232" s="5" t="s">
        <v>15</v>
      </c>
      <c r="G232" s="5">
        <v>135</v>
      </c>
      <c r="H232" s="5">
        <v>110</v>
      </c>
    </row>
    <row r="233" spans="1:8">
      <c r="A233" s="6">
        <v>70028</v>
      </c>
      <c r="B233" s="4" t="s">
        <v>256</v>
      </c>
      <c r="C233" s="4" t="s">
        <v>229</v>
      </c>
      <c r="D233" s="5">
        <v>263</v>
      </c>
      <c r="E233" s="5">
        <v>8</v>
      </c>
      <c r="F233" s="5" t="s">
        <v>13</v>
      </c>
      <c r="G233" s="5">
        <v>134</v>
      </c>
      <c r="H233" s="5">
        <v>129</v>
      </c>
    </row>
    <row r="234" spans="1:8">
      <c r="A234" s="6">
        <v>70029</v>
      </c>
      <c r="B234" s="4" t="s">
        <v>257</v>
      </c>
      <c r="C234" s="4" t="s">
        <v>229</v>
      </c>
      <c r="D234" s="5">
        <v>256</v>
      </c>
      <c r="E234" s="5">
        <v>9</v>
      </c>
      <c r="F234" s="5" t="s">
        <v>15</v>
      </c>
      <c r="G234" s="5">
        <v>138</v>
      </c>
      <c r="H234" s="5">
        <v>118</v>
      </c>
    </row>
    <row r="235" spans="1:8">
      <c r="A235" s="6">
        <v>70030</v>
      </c>
      <c r="B235" s="4" t="s">
        <v>258</v>
      </c>
      <c r="C235" s="4" t="s">
        <v>229</v>
      </c>
      <c r="D235" s="5">
        <v>266</v>
      </c>
      <c r="E235" s="5">
        <v>12</v>
      </c>
      <c r="F235" s="5" t="s">
        <v>13</v>
      </c>
      <c r="G235" s="5">
        <v>133</v>
      </c>
      <c r="H235" s="5">
        <v>133</v>
      </c>
    </row>
    <row r="236" spans="1:8">
      <c r="A236" s="6">
        <v>70031</v>
      </c>
      <c r="B236" s="4" t="s">
        <v>259</v>
      </c>
      <c r="C236" s="4" t="s">
        <v>229</v>
      </c>
      <c r="D236" s="5">
        <v>215</v>
      </c>
      <c r="E236" s="5">
        <v>1</v>
      </c>
      <c r="F236" s="5" t="s">
        <v>15</v>
      </c>
      <c r="G236" s="5">
        <v>117</v>
      </c>
      <c r="H236" s="5">
        <v>98</v>
      </c>
    </row>
    <row r="237" spans="1:8">
      <c r="A237" s="6">
        <v>70032</v>
      </c>
      <c r="B237" s="4" t="s">
        <v>260</v>
      </c>
      <c r="C237" s="4" t="s">
        <v>229</v>
      </c>
      <c r="D237" s="5">
        <v>254</v>
      </c>
      <c r="E237" s="5">
        <v>10</v>
      </c>
      <c r="F237" s="5" t="s">
        <v>13</v>
      </c>
      <c r="G237" s="5">
        <v>137</v>
      </c>
      <c r="H237" s="5">
        <v>117</v>
      </c>
    </row>
    <row r="238" spans="1:8">
      <c r="A238" s="6">
        <v>70033</v>
      </c>
      <c r="B238" s="4" t="s">
        <v>261</v>
      </c>
      <c r="C238" s="4" t="s">
        <v>229</v>
      </c>
      <c r="D238" s="5" t="e">
        <v>#N/A</v>
      </c>
      <c r="E238" s="5" t="e">
        <v>#N/A</v>
      </c>
      <c r="F238" s="5" t="s">
        <v>13</v>
      </c>
      <c r="G238" s="5" t="e">
        <v>#N/A</v>
      </c>
      <c r="H238" s="5" t="e">
        <v>#N/A</v>
      </c>
    </row>
    <row r="239" spans="1:8">
      <c r="A239" s="6">
        <v>70034</v>
      </c>
      <c r="B239" s="4" t="s">
        <v>262</v>
      </c>
      <c r="C239" s="4" t="s">
        <v>229</v>
      </c>
      <c r="D239" s="5">
        <v>248</v>
      </c>
      <c r="E239" s="5">
        <v>7</v>
      </c>
      <c r="F239" s="5" t="s">
        <v>15</v>
      </c>
      <c r="G239" s="5">
        <v>137</v>
      </c>
      <c r="H239" s="5">
        <v>111</v>
      </c>
    </row>
    <row r="240" spans="1:8">
      <c r="A240" s="6">
        <v>70035</v>
      </c>
      <c r="B240" s="4" t="s">
        <v>263</v>
      </c>
      <c r="C240" s="4" t="s">
        <v>229</v>
      </c>
      <c r="D240" s="5">
        <v>230</v>
      </c>
      <c r="E240" s="5">
        <v>1</v>
      </c>
      <c r="F240" s="5" t="s">
        <v>15</v>
      </c>
      <c r="G240" s="5">
        <v>122</v>
      </c>
      <c r="H240" s="5">
        <v>108</v>
      </c>
    </row>
    <row r="241" spans="1:8">
      <c r="A241" s="6">
        <v>70036</v>
      </c>
      <c r="B241" s="4" t="s">
        <v>264</v>
      </c>
      <c r="C241" s="4" t="s">
        <v>229</v>
      </c>
      <c r="D241" s="5">
        <v>245</v>
      </c>
      <c r="E241" s="5">
        <v>6</v>
      </c>
      <c r="F241" s="5" t="s">
        <v>15</v>
      </c>
      <c r="G241" s="5">
        <v>132</v>
      </c>
      <c r="H241" s="5">
        <v>113</v>
      </c>
    </row>
    <row r="242" spans="1:8">
      <c r="A242" s="6">
        <v>70037</v>
      </c>
      <c r="B242" s="4" t="s">
        <v>265</v>
      </c>
      <c r="C242" s="4" t="s">
        <v>229</v>
      </c>
      <c r="D242" s="5" t="e">
        <v>#N/A</v>
      </c>
      <c r="E242" s="5" t="e">
        <v>#N/A</v>
      </c>
      <c r="F242" s="5" t="s">
        <v>15</v>
      </c>
      <c r="G242" s="5" t="e">
        <v>#N/A</v>
      </c>
      <c r="H242" s="5" t="e">
        <v>#N/A</v>
      </c>
    </row>
    <row r="243" spans="1:8">
      <c r="A243" s="6">
        <v>70038</v>
      </c>
      <c r="B243" s="4" t="s">
        <v>265</v>
      </c>
      <c r="C243" s="4" t="s">
        <v>229</v>
      </c>
      <c r="D243" s="5">
        <v>229</v>
      </c>
      <c r="E243" s="5">
        <v>2</v>
      </c>
      <c r="F243" s="5" t="s">
        <v>15</v>
      </c>
      <c r="G243" s="5">
        <v>126</v>
      </c>
      <c r="H243" s="5">
        <v>103</v>
      </c>
    </row>
    <row r="244" spans="1:8">
      <c r="A244" s="6">
        <v>70039</v>
      </c>
      <c r="B244" s="4" t="s">
        <v>266</v>
      </c>
      <c r="C244" s="4" t="s">
        <v>229</v>
      </c>
      <c r="D244" s="5">
        <v>232</v>
      </c>
      <c r="E244" s="5">
        <v>5</v>
      </c>
      <c r="F244" s="5" t="s">
        <v>15</v>
      </c>
      <c r="G244" s="5">
        <v>135</v>
      </c>
      <c r="H244" s="5">
        <v>97</v>
      </c>
    </row>
    <row r="245" spans="1:8">
      <c r="A245" s="6">
        <v>70040</v>
      </c>
      <c r="B245" s="4" t="s">
        <v>267</v>
      </c>
      <c r="C245" s="4" t="s">
        <v>229</v>
      </c>
      <c r="D245" s="5">
        <v>258</v>
      </c>
      <c r="E245" s="5">
        <v>9</v>
      </c>
      <c r="F245" s="5" t="s">
        <v>15</v>
      </c>
      <c r="G245" s="5">
        <v>140</v>
      </c>
      <c r="H245" s="5">
        <v>118</v>
      </c>
    </row>
    <row r="246" spans="1:8">
      <c r="A246" s="6">
        <v>70041</v>
      </c>
      <c r="B246" s="4" t="s">
        <v>268</v>
      </c>
      <c r="C246" s="4" t="s">
        <v>229</v>
      </c>
      <c r="D246" s="5">
        <v>258</v>
      </c>
      <c r="E246" s="5">
        <v>6</v>
      </c>
      <c r="F246" s="5" t="s">
        <v>13</v>
      </c>
      <c r="G246" s="5">
        <v>138</v>
      </c>
      <c r="H246" s="5">
        <v>120</v>
      </c>
    </row>
    <row r="247" spans="1:8">
      <c r="A247" s="6">
        <v>70042</v>
      </c>
      <c r="B247" s="4" t="s">
        <v>269</v>
      </c>
      <c r="C247" s="4" t="s">
        <v>229</v>
      </c>
      <c r="D247" s="5">
        <v>261</v>
      </c>
      <c r="E247" s="5">
        <v>10</v>
      </c>
      <c r="F247" s="5" t="s">
        <v>15</v>
      </c>
      <c r="G247" s="5">
        <v>138</v>
      </c>
      <c r="H247" s="5">
        <v>123</v>
      </c>
    </row>
    <row r="248" spans="1:8">
      <c r="A248" s="6">
        <v>80001</v>
      </c>
      <c r="B248" s="4" t="s">
        <v>270</v>
      </c>
      <c r="C248" s="4" t="s">
        <v>271</v>
      </c>
      <c r="D248" s="5">
        <v>272</v>
      </c>
      <c r="E248" s="5">
        <v>10</v>
      </c>
      <c r="F248" s="5" t="s">
        <v>13</v>
      </c>
      <c r="G248" s="5">
        <v>140</v>
      </c>
      <c r="H248" s="5">
        <v>132</v>
      </c>
    </row>
    <row r="249" spans="1:8">
      <c r="A249" s="6">
        <v>80002</v>
      </c>
      <c r="B249" s="4" t="s">
        <v>272</v>
      </c>
      <c r="C249" s="4" t="s">
        <v>271</v>
      </c>
      <c r="D249" s="5" t="e">
        <v>#N/A</v>
      </c>
      <c r="E249" s="5" t="e">
        <v>#N/A</v>
      </c>
      <c r="F249" s="5" t="s">
        <v>15</v>
      </c>
      <c r="G249" s="5" t="e">
        <v>#N/A</v>
      </c>
      <c r="H249" s="5" t="e">
        <v>#N/A</v>
      </c>
    </row>
    <row r="250" spans="1:8">
      <c r="A250" s="6">
        <v>80003</v>
      </c>
      <c r="B250" s="4" t="s">
        <v>273</v>
      </c>
      <c r="C250" s="4" t="s">
        <v>271</v>
      </c>
      <c r="D250" s="5">
        <v>268</v>
      </c>
      <c r="E250" s="5">
        <v>9</v>
      </c>
      <c r="F250" s="5" t="s">
        <v>15</v>
      </c>
      <c r="G250" s="5">
        <v>136</v>
      </c>
      <c r="H250" s="5">
        <v>132</v>
      </c>
    </row>
    <row r="251" spans="1:8">
      <c r="A251" s="6">
        <v>80004</v>
      </c>
      <c r="B251" s="4" t="s">
        <v>274</v>
      </c>
      <c r="C251" s="4" t="s">
        <v>271</v>
      </c>
      <c r="D251" s="5">
        <v>272</v>
      </c>
      <c r="E251" s="5">
        <v>11</v>
      </c>
      <c r="F251" s="5" t="s">
        <v>13</v>
      </c>
      <c r="G251" s="5">
        <v>143</v>
      </c>
      <c r="H251" s="5">
        <v>129</v>
      </c>
    </row>
    <row r="252" spans="1:8">
      <c r="A252" s="6">
        <v>80005</v>
      </c>
      <c r="B252" s="4" t="s">
        <v>275</v>
      </c>
      <c r="C252" s="4" t="s">
        <v>271</v>
      </c>
      <c r="D252" s="5">
        <v>234</v>
      </c>
      <c r="E252" s="5">
        <v>9</v>
      </c>
      <c r="F252" s="5" t="s">
        <v>13</v>
      </c>
      <c r="G252" s="5">
        <v>128</v>
      </c>
      <c r="H252" s="5">
        <v>106</v>
      </c>
    </row>
    <row r="253" spans="1:8">
      <c r="A253" s="6">
        <v>80006</v>
      </c>
      <c r="B253" s="4" t="s">
        <v>276</v>
      </c>
      <c r="C253" s="4" t="s">
        <v>271</v>
      </c>
      <c r="D253" s="5">
        <v>220</v>
      </c>
      <c r="E253" s="5">
        <v>3</v>
      </c>
      <c r="F253" s="5" t="s">
        <v>13</v>
      </c>
      <c r="G253" s="5">
        <v>124</v>
      </c>
      <c r="H253" s="5">
        <v>96</v>
      </c>
    </row>
    <row r="254" spans="1:8">
      <c r="A254" s="6">
        <v>80007</v>
      </c>
      <c r="B254" s="4" t="s">
        <v>277</v>
      </c>
      <c r="C254" s="4" t="s">
        <v>271</v>
      </c>
      <c r="D254" s="5">
        <v>247</v>
      </c>
      <c r="E254" s="5">
        <v>4</v>
      </c>
      <c r="F254" s="5" t="s">
        <v>15</v>
      </c>
      <c r="G254" s="5">
        <v>129</v>
      </c>
      <c r="H254" s="5">
        <v>118</v>
      </c>
    </row>
    <row r="255" spans="1:8">
      <c r="A255" s="6">
        <v>80008</v>
      </c>
      <c r="B255" s="4" t="s">
        <v>278</v>
      </c>
      <c r="C255" s="4" t="s">
        <v>271</v>
      </c>
      <c r="D255" s="5">
        <v>221</v>
      </c>
      <c r="E255" s="5">
        <v>1</v>
      </c>
      <c r="F255" s="5" t="s">
        <v>13</v>
      </c>
      <c r="G255" s="5">
        <v>128</v>
      </c>
      <c r="H255" s="5">
        <v>93</v>
      </c>
    </row>
    <row r="256" spans="1:8">
      <c r="A256" s="6">
        <v>80009</v>
      </c>
      <c r="B256" s="4" t="s">
        <v>279</v>
      </c>
      <c r="C256" s="4" t="s">
        <v>271</v>
      </c>
      <c r="D256" s="5">
        <v>145</v>
      </c>
      <c r="E256" s="5">
        <v>1</v>
      </c>
      <c r="F256" s="5" t="s">
        <v>13</v>
      </c>
      <c r="G256" s="5">
        <v>90</v>
      </c>
      <c r="H256" s="5">
        <v>55</v>
      </c>
    </row>
    <row r="257" spans="1:8">
      <c r="A257" s="6">
        <v>80010</v>
      </c>
      <c r="B257" s="4" t="s">
        <v>280</v>
      </c>
      <c r="C257" s="4" t="s">
        <v>271</v>
      </c>
      <c r="D257" s="5">
        <v>226</v>
      </c>
      <c r="E257" s="5">
        <v>2</v>
      </c>
      <c r="F257" s="5" t="s">
        <v>13</v>
      </c>
      <c r="G257" s="5">
        <v>122</v>
      </c>
      <c r="H257" s="5">
        <v>104</v>
      </c>
    </row>
    <row r="258" spans="1:8">
      <c r="A258" s="6">
        <v>80011</v>
      </c>
      <c r="B258" s="4" t="s">
        <v>281</v>
      </c>
      <c r="C258" s="4" t="s">
        <v>271</v>
      </c>
      <c r="D258" s="5">
        <v>205</v>
      </c>
      <c r="E258" s="5">
        <v>2</v>
      </c>
      <c r="F258" s="5" t="s">
        <v>15</v>
      </c>
      <c r="G258" s="5">
        <v>116</v>
      </c>
      <c r="H258" s="5">
        <v>89</v>
      </c>
    </row>
    <row r="259" spans="1:8">
      <c r="A259" s="6">
        <v>80012</v>
      </c>
      <c r="B259" s="4" t="s">
        <v>282</v>
      </c>
      <c r="C259" s="4" t="s">
        <v>271</v>
      </c>
      <c r="D259" s="5">
        <v>246</v>
      </c>
      <c r="E259" s="5">
        <v>3</v>
      </c>
      <c r="F259" s="5" t="s">
        <v>13</v>
      </c>
      <c r="G259" s="5">
        <v>126</v>
      </c>
      <c r="H259" s="5">
        <v>120</v>
      </c>
    </row>
    <row r="260" spans="1:8">
      <c r="A260" s="6">
        <v>80013</v>
      </c>
      <c r="B260" s="4" t="s">
        <v>283</v>
      </c>
      <c r="C260" s="4" t="s">
        <v>271</v>
      </c>
      <c r="D260" s="5">
        <v>213</v>
      </c>
      <c r="E260" s="5">
        <v>3</v>
      </c>
      <c r="F260" s="5" t="s">
        <v>13</v>
      </c>
      <c r="G260" s="5">
        <v>121</v>
      </c>
      <c r="H260" s="5">
        <v>92</v>
      </c>
    </row>
    <row r="261" spans="1:8">
      <c r="A261" s="6">
        <v>80014</v>
      </c>
      <c r="B261" s="4" t="s">
        <v>284</v>
      </c>
      <c r="C261" s="4" t="s">
        <v>271</v>
      </c>
      <c r="D261" s="5" t="e">
        <v>#N/A</v>
      </c>
      <c r="E261" s="5" t="e">
        <v>#N/A</v>
      </c>
      <c r="F261" s="5" t="s">
        <v>13</v>
      </c>
      <c r="G261" s="5" t="e">
        <v>#N/A</v>
      </c>
      <c r="H261" s="5" t="e">
        <v>#N/A</v>
      </c>
    </row>
    <row r="262" spans="1:8">
      <c r="A262" s="6">
        <v>80015</v>
      </c>
      <c r="B262" s="4" t="s">
        <v>285</v>
      </c>
      <c r="C262" s="4" t="s">
        <v>271</v>
      </c>
      <c r="D262" s="5" t="e">
        <v>#N/A</v>
      </c>
      <c r="E262" s="5" t="e">
        <v>#N/A</v>
      </c>
      <c r="F262" s="5" t="s">
        <v>13</v>
      </c>
      <c r="G262" s="5" t="e">
        <v>#N/A</v>
      </c>
      <c r="H262" s="5" t="e">
        <v>#N/A</v>
      </c>
    </row>
    <row r="263" spans="1:8">
      <c r="A263" s="6">
        <v>80016</v>
      </c>
      <c r="B263" s="4" t="s">
        <v>286</v>
      </c>
      <c r="C263" s="4" t="s">
        <v>271</v>
      </c>
      <c r="D263" s="5" t="e">
        <v>#N/A</v>
      </c>
      <c r="E263" s="5" t="e">
        <v>#N/A</v>
      </c>
      <c r="F263" s="5" t="s">
        <v>13</v>
      </c>
      <c r="G263" s="5" t="e">
        <v>#N/A</v>
      </c>
      <c r="H263" s="5" t="e">
        <v>#N/A</v>
      </c>
    </row>
    <row r="264" spans="1:8">
      <c r="A264" s="6">
        <v>80017</v>
      </c>
      <c r="B264" s="4" t="s">
        <v>287</v>
      </c>
      <c r="C264" s="4" t="s">
        <v>271</v>
      </c>
      <c r="D264" s="5">
        <v>194</v>
      </c>
      <c r="E264" s="5">
        <v>2</v>
      </c>
      <c r="F264" s="5" t="s">
        <v>15</v>
      </c>
      <c r="G264" s="5">
        <v>118</v>
      </c>
      <c r="H264" s="5">
        <v>76</v>
      </c>
    </row>
    <row r="265" spans="1:8">
      <c r="A265" s="6">
        <v>80018</v>
      </c>
      <c r="B265" s="4" t="s">
        <v>288</v>
      </c>
      <c r="C265" s="4" t="s">
        <v>271</v>
      </c>
      <c r="D265" s="5">
        <v>263</v>
      </c>
      <c r="E265" s="5">
        <v>9</v>
      </c>
      <c r="F265" s="5" t="s">
        <v>13</v>
      </c>
      <c r="G265" s="5">
        <v>140</v>
      </c>
      <c r="H265" s="5">
        <v>123</v>
      </c>
    </row>
    <row r="266" spans="1:8">
      <c r="A266" s="6">
        <v>80019</v>
      </c>
      <c r="B266" s="4" t="s">
        <v>289</v>
      </c>
      <c r="C266" s="4" t="s">
        <v>271</v>
      </c>
      <c r="D266" s="5">
        <v>199</v>
      </c>
      <c r="E266" s="5">
        <v>1</v>
      </c>
      <c r="F266" s="5" t="s">
        <v>13</v>
      </c>
      <c r="G266" s="5">
        <v>116</v>
      </c>
      <c r="H266" s="5">
        <v>83</v>
      </c>
    </row>
    <row r="267" spans="1:8">
      <c r="A267" s="6">
        <v>80020</v>
      </c>
      <c r="B267" s="4" t="s">
        <v>290</v>
      </c>
      <c r="C267" s="4" t="s">
        <v>271</v>
      </c>
      <c r="D267" s="5" t="e">
        <v>#N/A</v>
      </c>
      <c r="E267" s="5" t="e">
        <v>#N/A</v>
      </c>
      <c r="F267" s="5" t="s">
        <v>13</v>
      </c>
      <c r="G267" s="5" t="e">
        <v>#N/A</v>
      </c>
      <c r="H267" s="5" t="e">
        <v>#N/A</v>
      </c>
    </row>
    <row r="268" spans="1:8">
      <c r="A268" s="6">
        <v>80021</v>
      </c>
      <c r="B268" s="4" t="s">
        <v>291</v>
      </c>
      <c r="C268" s="4" t="s">
        <v>271</v>
      </c>
      <c r="D268" s="5">
        <v>263</v>
      </c>
      <c r="E268" s="5">
        <v>11</v>
      </c>
      <c r="F268" s="5" t="s">
        <v>15</v>
      </c>
      <c r="G268" s="5">
        <v>137</v>
      </c>
      <c r="H268" s="5">
        <v>126</v>
      </c>
    </row>
    <row r="269" spans="1:8">
      <c r="A269" s="6">
        <v>80022</v>
      </c>
      <c r="B269" s="4" t="s">
        <v>292</v>
      </c>
      <c r="C269" s="4" t="s">
        <v>271</v>
      </c>
      <c r="D269" s="5" t="e">
        <v>#N/A</v>
      </c>
      <c r="E269" s="5" t="e">
        <v>#N/A</v>
      </c>
      <c r="F269" s="5" t="s">
        <v>13</v>
      </c>
      <c r="G269" s="5" t="e">
        <v>#N/A</v>
      </c>
      <c r="H269" s="5" t="e">
        <v>#N/A</v>
      </c>
    </row>
    <row r="270" spans="1:8">
      <c r="A270" s="6">
        <v>80023</v>
      </c>
      <c r="B270" s="4" t="s">
        <v>293</v>
      </c>
      <c r="C270" s="4" t="s">
        <v>271</v>
      </c>
      <c r="D270" s="5">
        <v>265</v>
      </c>
      <c r="E270" s="5">
        <v>13</v>
      </c>
      <c r="F270" s="5" t="s">
        <v>15</v>
      </c>
      <c r="G270" s="5">
        <v>144</v>
      </c>
      <c r="H270" s="5">
        <v>121</v>
      </c>
    </row>
    <row r="271" spans="1:8">
      <c r="A271" s="6">
        <v>80024</v>
      </c>
      <c r="B271" s="4" t="s">
        <v>294</v>
      </c>
      <c r="C271" s="4" t="s">
        <v>271</v>
      </c>
      <c r="D271" s="5">
        <v>214</v>
      </c>
      <c r="E271" s="5">
        <v>3</v>
      </c>
      <c r="F271" s="5" t="s">
        <v>15</v>
      </c>
      <c r="G271" s="5">
        <v>116</v>
      </c>
      <c r="H271" s="5">
        <v>98</v>
      </c>
    </row>
    <row r="272" spans="1:8">
      <c r="A272" s="6">
        <v>80025</v>
      </c>
      <c r="B272" s="4" t="s">
        <v>295</v>
      </c>
      <c r="C272" s="4" t="s">
        <v>271</v>
      </c>
      <c r="D272" s="5">
        <v>275</v>
      </c>
      <c r="E272" s="5">
        <v>14</v>
      </c>
      <c r="F272" s="5" t="s">
        <v>13</v>
      </c>
      <c r="G272" s="5">
        <v>143</v>
      </c>
      <c r="H272" s="5">
        <v>132</v>
      </c>
    </row>
    <row r="273" spans="1:8">
      <c r="A273" s="6">
        <v>80026</v>
      </c>
      <c r="B273" s="4" t="s">
        <v>296</v>
      </c>
      <c r="C273" s="4" t="s">
        <v>271</v>
      </c>
      <c r="D273" s="5" t="e">
        <v>#N/A</v>
      </c>
      <c r="E273" s="5" t="e">
        <v>#N/A</v>
      </c>
      <c r="F273" s="5" t="s">
        <v>15</v>
      </c>
      <c r="G273" s="5" t="e">
        <v>#N/A</v>
      </c>
      <c r="H273" s="5" t="e">
        <v>#N/A</v>
      </c>
    </row>
    <row r="274" spans="1:8">
      <c r="A274" s="6">
        <v>80027</v>
      </c>
      <c r="B274" s="4" t="s">
        <v>297</v>
      </c>
      <c r="C274" s="4" t="s">
        <v>271</v>
      </c>
      <c r="D274" s="5">
        <v>240</v>
      </c>
      <c r="E274" s="5">
        <v>5</v>
      </c>
      <c r="F274" s="5" t="s">
        <v>13</v>
      </c>
      <c r="G274" s="5">
        <v>129</v>
      </c>
      <c r="H274" s="5">
        <v>111</v>
      </c>
    </row>
    <row r="275" spans="1:8">
      <c r="A275" s="6">
        <v>80028</v>
      </c>
      <c r="B275" s="4" t="s">
        <v>298</v>
      </c>
      <c r="C275" s="4" t="s">
        <v>271</v>
      </c>
      <c r="D275" s="5">
        <v>232</v>
      </c>
      <c r="E275" s="5">
        <v>1</v>
      </c>
      <c r="F275" s="5" t="s">
        <v>13</v>
      </c>
      <c r="G275" s="5">
        <v>127</v>
      </c>
      <c r="H275" s="5">
        <v>105</v>
      </c>
    </row>
    <row r="276" spans="1:8">
      <c r="A276" s="6">
        <v>80029</v>
      </c>
      <c r="B276" s="4" t="s">
        <v>299</v>
      </c>
      <c r="C276" s="4" t="s">
        <v>271</v>
      </c>
      <c r="D276" s="5">
        <v>229</v>
      </c>
      <c r="E276" s="5">
        <v>3</v>
      </c>
      <c r="F276" s="5" t="s">
        <v>13</v>
      </c>
      <c r="G276" s="5">
        <v>122</v>
      </c>
      <c r="H276" s="5">
        <v>107</v>
      </c>
    </row>
    <row r="277" spans="1:8">
      <c r="A277" s="6">
        <v>80030</v>
      </c>
      <c r="B277" s="4" t="s">
        <v>300</v>
      </c>
      <c r="C277" s="4" t="s">
        <v>271</v>
      </c>
      <c r="D277" s="5" t="e">
        <v>#N/A</v>
      </c>
      <c r="E277" s="5" t="e">
        <v>#N/A</v>
      </c>
      <c r="F277" s="5" t="s">
        <v>13</v>
      </c>
      <c r="G277" s="5" t="e">
        <v>#N/A</v>
      </c>
      <c r="H277" s="5" t="e">
        <v>#N/A</v>
      </c>
    </row>
    <row r="278" spans="1:8">
      <c r="A278" s="6">
        <v>80031</v>
      </c>
      <c r="B278" s="4" t="s">
        <v>301</v>
      </c>
      <c r="C278" s="4" t="s">
        <v>271</v>
      </c>
      <c r="D278" s="5">
        <v>257</v>
      </c>
      <c r="E278" s="5">
        <v>6</v>
      </c>
      <c r="F278" s="5" t="s">
        <v>13</v>
      </c>
      <c r="G278" s="5">
        <v>134</v>
      </c>
      <c r="H278" s="5">
        <v>123</v>
      </c>
    </row>
    <row r="279" spans="1:8">
      <c r="A279" s="6">
        <v>80032</v>
      </c>
      <c r="B279" s="4" t="s">
        <v>302</v>
      </c>
      <c r="C279" s="4" t="s">
        <v>271</v>
      </c>
      <c r="D279" s="5">
        <v>205</v>
      </c>
      <c r="E279" s="5">
        <v>4</v>
      </c>
      <c r="F279" s="5" t="s">
        <v>15</v>
      </c>
      <c r="G279" s="5">
        <v>117</v>
      </c>
      <c r="H279" s="5">
        <v>88</v>
      </c>
    </row>
    <row r="280" spans="1:8">
      <c r="A280" s="6">
        <v>80033</v>
      </c>
      <c r="B280" s="4" t="s">
        <v>303</v>
      </c>
      <c r="C280" s="4" t="s">
        <v>271</v>
      </c>
      <c r="D280" s="5">
        <v>218</v>
      </c>
      <c r="E280" s="5">
        <v>2</v>
      </c>
      <c r="F280" s="5" t="s">
        <v>13</v>
      </c>
      <c r="G280" s="5">
        <v>112</v>
      </c>
      <c r="H280" s="5">
        <v>106</v>
      </c>
    </row>
    <row r="281" spans="1:8">
      <c r="A281" s="6">
        <v>80034</v>
      </c>
      <c r="B281" s="4" t="s">
        <v>304</v>
      </c>
      <c r="C281" s="4" t="s">
        <v>271</v>
      </c>
      <c r="D281" s="5">
        <v>266</v>
      </c>
      <c r="E281" s="5">
        <v>11</v>
      </c>
      <c r="F281" s="5" t="s">
        <v>13</v>
      </c>
      <c r="G281" s="5">
        <v>138</v>
      </c>
      <c r="H281" s="5">
        <v>128</v>
      </c>
    </row>
    <row r="282" spans="1:8">
      <c r="A282" s="6">
        <v>80035</v>
      </c>
      <c r="B282" s="4" t="s">
        <v>305</v>
      </c>
      <c r="C282" s="4" t="s">
        <v>271</v>
      </c>
      <c r="D282" s="5">
        <v>239</v>
      </c>
      <c r="E282" s="5">
        <v>3</v>
      </c>
      <c r="F282" s="5" t="s">
        <v>13</v>
      </c>
      <c r="G282" s="5">
        <v>124</v>
      </c>
      <c r="H282" s="5">
        <v>115</v>
      </c>
    </row>
    <row r="283" spans="1:8">
      <c r="A283" s="6">
        <v>80036</v>
      </c>
      <c r="B283" s="4" t="s">
        <v>306</v>
      </c>
      <c r="C283" s="4" t="s">
        <v>271</v>
      </c>
      <c r="D283" s="5">
        <v>228</v>
      </c>
      <c r="E283" s="5">
        <v>3</v>
      </c>
      <c r="F283" s="5" t="s">
        <v>15</v>
      </c>
      <c r="G283" s="5">
        <v>121</v>
      </c>
      <c r="H283" s="5">
        <v>107</v>
      </c>
    </row>
    <row r="284" spans="1:8">
      <c r="A284" s="6">
        <v>80037</v>
      </c>
      <c r="B284" s="4" t="s">
        <v>307</v>
      </c>
      <c r="C284" s="4" t="s">
        <v>271</v>
      </c>
      <c r="D284" s="5">
        <v>195</v>
      </c>
      <c r="E284" s="5">
        <v>1</v>
      </c>
      <c r="F284" s="5" t="s">
        <v>15</v>
      </c>
      <c r="G284" s="5">
        <v>115</v>
      </c>
      <c r="H284" s="5">
        <v>80</v>
      </c>
    </row>
    <row r="285" spans="1:8">
      <c r="A285" s="6">
        <v>80038</v>
      </c>
      <c r="B285" s="4" t="s">
        <v>308</v>
      </c>
      <c r="C285" s="4" t="s">
        <v>271</v>
      </c>
      <c r="D285" s="5">
        <v>244</v>
      </c>
      <c r="E285" s="5">
        <v>6</v>
      </c>
      <c r="F285" s="5" t="s">
        <v>13</v>
      </c>
      <c r="G285" s="5">
        <v>133</v>
      </c>
      <c r="H285" s="5">
        <v>111</v>
      </c>
    </row>
    <row r="286" spans="1:8">
      <c r="A286" s="6">
        <v>80039</v>
      </c>
      <c r="B286" s="4" t="s">
        <v>309</v>
      </c>
      <c r="C286" s="4" t="s">
        <v>271</v>
      </c>
      <c r="D286" s="5" t="e">
        <v>#N/A</v>
      </c>
      <c r="E286" s="5" t="e">
        <v>#N/A</v>
      </c>
      <c r="F286" s="5" t="s">
        <v>15</v>
      </c>
      <c r="G286" s="5" t="e">
        <v>#N/A</v>
      </c>
      <c r="H286" s="5" t="e">
        <v>#N/A</v>
      </c>
    </row>
    <row r="287" spans="1:8">
      <c r="A287" s="6">
        <v>80040</v>
      </c>
      <c r="B287" s="4" t="s">
        <v>310</v>
      </c>
      <c r="C287" s="4" t="s">
        <v>271</v>
      </c>
      <c r="D287" s="5">
        <v>261</v>
      </c>
      <c r="E287" s="5">
        <v>7</v>
      </c>
      <c r="F287" s="5" t="s">
        <v>15</v>
      </c>
      <c r="G287" s="5">
        <v>134</v>
      </c>
      <c r="H287" s="5">
        <v>127</v>
      </c>
    </row>
    <row r="288" spans="1:8">
      <c r="A288" s="6">
        <v>80041</v>
      </c>
      <c r="B288" s="4" t="s">
        <v>311</v>
      </c>
      <c r="C288" s="4" t="s">
        <v>271</v>
      </c>
      <c r="D288" s="5" t="e">
        <v>#N/A</v>
      </c>
      <c r="E288" s="5" t="e">
        <v>#N/A</v>
      </c>
      <c r="F288" s="5" t="s">
        <v>15</v>
      </c>
      <c r="G288" s="5" t="e">
        <v>#N/A</v>
      </c>
      <c r="H288" s="5" t="e">
        <v>#N/A</v>
      </c>
    </row>
    <row r="289" spans="1:8">
      <c r="A289" s="6">
        <v>80042</v>
      </c>
      <c r="B289" s="4" t="s">
        <v>312</v>
      </c>
      <c r="C289" s="4" t="s">
        <v>271</v>
      </c>
      <c r="D289" s="5">
        <v>257</v>
      </c>
      <c r="E289" s="5">
        <v>10</v>
      </c>
      <c r="F289" s="5" t="s">
        <v>13</v>
      </c>
      <c r="G289" s="5">
        <v>124</v>
      </c>
      <c r="H289" s="5">
        <v>133</v>
      </c>
    </row>
    <row r="290" spans="1:8">
      <c r="A290" s="6">
        <v>80043</v>
      </c>
      <c r="B290" s="4" t="s">
        <v>313</v>
      </c>
      <c r="C290" s="4" t="s">
        <v>271</v>
      </c>
      <c r="D290" s="5" t="e">
        <v>#N/A</v>
      </c>
      <c r="E290" s="5" t="e">
        <v>#N/A</v>
      </c>
      <c r="F290" s="5" t="s">
        <v>13</v>
      </c>
      <c r="G290" s="5" t="e">
        <v>#N/A</v>
      </c>
      <c r="H290" s="5" t="e">
        <v>#N/A</v>
      </c>
    </row>
    <row r="291" spans="1:8">
      <c r="A291" s="6">
        <v>80044</v>
      </c>
      <c r="B291" s="4" t="s">
        <v>314</v>
      </c>
      <c r="C291" s="4" t="s">
        <v>271</v>
      </c>
      <c r="D291" s="5">
        <v>186</v>
      </c>
      <c r="E291" s="5">
        <v>1</v>
      </c>
      <c r="F291" s="5" t="s">
        <v>15</v>
      </c>
      <c r="G291" s="5">
        <v>115</v>
      </c>
      <c r="H291" s="5">
        <v>71</v>
      </c>
    </row>
    <row r="292" spans="1:8">
      <c r="A292" s="6">
        <v>80045</v>
      </c>
      <c r="B292" s="4" t="s">
        <v>315</v>
      </c>
      <c r="C292" s="4" t="s">
        <v>271</v>
      </c>
      <c r="D292" s="5">
        <v>262</v>
      </c>
      <c r="E292" s="5">
        <v>7</v>
      </c>
      <c r="F292" s="5" t="s">
        <v>15</v>
      </c>
      <c r="G292" s="5">
        <v>133</v>
      </c>
      <c r="H292" s="5">
        <v>129</v>
      </c>
    </row>
    <row r="293" spans="1:8">
      <c r="A293" s="6">
        <v>80046</v>
      </c>
      <c r="B293" s="4" t="s">
        <v>316</v>
      </c>
      <c r="C293" s="4" t="s">
        <v>271</v>
      </c>
      <c r="D293" s="5">
        <v>190</v>
      </c>
      <c r="E293" s="5">
        <v>3</v>
      </c>
      <c r="F293" s="5" t="s">
        <v>15</v>
      </c>
      <c r="G293" s="5">
        <v>120</v>
      </c>
      <c r="H293" s="5">
        <v>70</v>
      </c>
    </row>
    <row r="294" spans="1:8">
      <c r="A294" s="6">
        <v>80047</v>
      </c>
      <c r="B294" s="4" t="s">
        <v>317</v>
      </c>
      <c r="C294" s="4" t="s">
        <v>271</v>
      </c>
      <c r="D294" s="5" t="e">
        <v>#N/A</v>
      </c>
      <c r="E294" s="5" t="e">
        <v>#N/A</v>
      </c>
      <c r="F294" s="5" t="s">
        <v>13</v>
      </c>
      <c r="G294" s="5" t="e">
        <v>#N/A</v>
      </c>
      <c r="H294" s="5" t="e">
        <v>#N/A</v>
      </c>
    </row>
    <row r="295" spans="1:8">
      <c r="A295" s="6">
        <v>80048</v>
      </c>
      <c r="B295" s="4" t="s">
        <v>318</v>
      </c>
      <c r="C295" s="4" t="s">
        <v>271</v>
      </c>
      <c r="D295" s="5">
        <v>240</v>
      </c>
      <c r="E295" s="5">
        <v>3</v>
      </c>
      <c r="F295" s="5" t="s">
        <v>13</v>
      </c>
      <c r="G295" s="5">
        <v>127</v>
      </c>
      <c r="H295" s="5">
        <v>113</v>
      </c>
    </row>
    <row r="296" spans="1:8">
      <c r="A296" s="6">
        <v>80049</v>
      </c>
      <c r="B296" s="4" t="s">
        <v>319</v>
      </c>
      <c r="C296" s="4" t="s">
        <v>271</v>
      </c>
      <c r="D296" s="5">
        <v>183</v>
      </c>
      <c r="E296" s="5">
        <v>2</v>
      </c>
      <c r="F296" s="5" t="s">
        <v>13</v>
      </c>
      <c r="G296" s="5">
        <v>117</v>
      </c>
      <c r="H296" s="5">
        <v>66</v>
      </c>
    </row>
    <row r="297" spans="1:8">
      <c r="A297" s="6">
        <v>80050</v>
      </c>
      <c r="B297" s="4" t="s">
        <v>320</v>
      </c>
      <c r="C297" s="4" t="s">
        <v>271</v>
      </c>
      <c r="D297" s="5">
        <v>270</v>
      </c>
      <c r="E297" s="5">
        <v>10</v>
      </c>
      <c r="F297" s="5" t="s">
        <v>15</v>
      </c>
      <c r="G297" s="5">
        <v>134</v>
      </c>
      <c r="H297" s="5">
        <v>136</v>
      </c>
    </row>
    <row r="298" spans="1:8">
      <c r="A298" s="6">
        <v>80051</v>
      </c>
      <c r="B298" s="4" t="s">
        <v>321</v>
      </c>
      <c r="C298" s="4" t="s">
        <v>271</v>
      </c>
      <c r="D298" s="5">
        <v>263</v>
      </c>
      <c r="E298" s="5">
        <v>7</v>
      </c>
      <c r="F298" s="5" t="s">
        <v>13</v>
      </c>
      <c r="G298" s="5">
        <v>138</v>
      </c>
      <c r="H298" s="5">
        <v>125</v>
      </c>
    </row>
    <row r="299" spans="1:8">
      <c r="A299" s="6">
        <v>80052</v>
      </c>
      <c r="B299" s="4" t="s">
        <v>322</v>
      </c>
      <c r="C299" s="4" t="s">
        <v>271</v>
      </c>
      <c r="D299" s="5">
        <v>232</v>
      </c>
      <c r="E299" s="5">
        <v>2</v>
      </c>
      <c r="F299" s="5" t="s">
        <v>15</v>
      </c>
      <c r="G299" s="5">
        <v>121</v>
      </c>
      <c r="H299" s="5">
        <v>111</v>
      </c>
    </row>
    <row r="300" spans="1:8">
      <c r="A300" s="6">
        <v>80053</v>
      </c>
      <c r="B300" s="4" t="s">
        <v>323</v>
      </c>
      <c r="C300" s="4" t="s">
        <v>271</v>
      </c>
      <c r="D300" s="5">
        <v>264</v>
      </c>
      <c r="E300" s="5">
        <v>10</v>
      </c>
      <c r="F300" s="5" t="s">
        <v>13</v>
      </c>
      <c r="G300" s="5">
        <v>141</v>
      </c>
      <c r="H300" s="5">
        <v>123</v>
      </c>
    </row>
    <row r="301" spans="1:8">
      <c r="A301" s="6">
        <v>80054</v>
      </c>
      <c r="B301" s="4" t="s">
        <v>324</v>
      </c>
      <c r="C301" s="4" t="s">
        <v>271</v>
      </c>
      <c r="D301" s="5">
        <v>211</v>
      </c>
      <c r="E301" s="5">
        <v>1</v>
      </c>
      <c r="F301" s="5" t="s">
        <v>13</v>
      </c>
      <c r="G301" s="5">
        <v>118</v>
      </c>
      <c r="H301" s="5">
        <v>93</v>
      </c>
    </row>
    <row r="302" spans="1:8">
      <c r="A302" s="6">
        <v>80055</v>
      </c>
      <c r="B302" s="4" t="s">
        <v>325</v>
      </c>
      <c r="C302" s="4" t="s">
        <v>271</v>
      </c>
      <c r="D302" s="5">
        <v>260</v>
      </c>
      <c r="E302" s="5">
        <v>4</v>
      </c>
      <c r="F302" s="5" t="s">
        <v>13</v>
      </c>
      <c r="G302" s="5">
        <v>133</v>
      </c>
      <c r="H302" s="5">
        <v>127</v>
      </c>
    </row>
    <row r="303" spans="1:8">
      <c r="A303" s="6">
        <v>80056</v>
      </c>
      <c r="B303" s="4" t="s">
        <v>326</v>
      </c>
      <c r="C303" s="4" t="s">
        <v>271</v>
      </c>
      <c r="D303" s="5">
        <v>195</v>
      </c>
      <c r="E303" s="5">
        <v>2</v>
      </c>
      <c r="F303" s="5" t="s">
        <v>15</v>
      </c>
      <c r="G303" s="5">
        <v>116</v>
      </c>
      <c r="H303" s="5">
        <v>79</v>
      </c>
    </row>
    <row r="304" spans="1:8">
      <c r="A304" s="6">
        <v>80057</v>
      </c>
      <c r="B304" s="4" t="s">
        <v>327</v>
      </c>
      <c r="C304" s="4" t="s">
        <v>271</v>
      </c>
      <c r="D304" s="5">
        <v>202</v>
      </c>
      <c r="E304" s="5">
        <v>2</v>
      </c>
      <c r="F304" s="5" t="s">
        <v>15</v>
      </c>
      <c r="G304" s="5">
        <v>116</v>
      </c>
      <c r="H304" s="5">
        <v>86</v>
      </c>
    </row>
    <row r="305" spans="1:8">
      <c r="A305" s="6">
        <v>80058</v>
      </c>
      <c r="B305" s="4" t="s">
        <v>328</v>
      </c>
      <c r="C305" s="4" t="s">
        <v>271</v>
      </c>
      <c r="D305" s="5">
        <v>259</v>
      </c>
      <c r="E305" s="5">
        <v>10</v>
      </c>
      <c r="F305" s="5" t="s">
        <v>15</v>
      </c>
      <c r="G305" s="5">
        <v>142</v>
      </c>
      <c r="H305" s="5">
        <v>117</v>
      </c>
    </row>
    <row r="306" spans="1:8">
      <c r="A306" s="6">
        <v>80059</v>
      </c>
      <c r="B306" s="4" t="s">
        <v>329</v>
      </c>
      <c r="C306" s="4" t="s">
        <v>271</v>
      </c>
      <c r="D306" s="5">
        <v>230</v>
      </c>
      <c r="E306" s="5">
        <v>4</v>
      </c>
      <c r="F306" s="5" t="s">
        <v>13</v>
      </c>
      <c r="G306" s="5">
        <v>119</v>
      </c>
      <c r="H306" s="5">
        <v>111</v>
      </c>
    </row>
    <row r="307" spans="1:8">
      <c r="A307" s="6">
        <v>80060</v>
      </c>
      <c r="B307" s="4" t="s">
        <v>330</v>
      </c>
      <c r="C307" s="4" t="s">
        <v>271</v>
      </c>
      <c r="D307" s="5">
        <v>233</v>
      </c>
      <c r="E307" s="5">
        <v>7</v>
      </c>
      <c r="F307" s="5" t="s">
        <v>13</v>
      </c>
      <c r="G307" s="5">
        <v>118</v>
      </c>
      <c r="H307" s="5">
        <v>115</v>
      </c>
    </row>
    <row r="308" spans="1:8">
      <c r="A308" s="6">
        <v>80061</v>
      </c>
      <c r="B308" s="4" t="s">
        <v>331</v>
      </c>
      <c r="C308" s="4" t="s">
        <v>271</v>
      </c>
      <c r="D308" s="5">
        <v>177</v>
      </c>
      <c r="E308" s="5">
        <v>1</v>
      </c>
      <c r="F308" s="5" t="s">
        <v>15</v>
      </c>
      <c r="G308" s="5">
        <v>94</v>
      </c>
      <c r="H308" s="5">
        <v>83</v>
      </c>
    </row>
    <row r="309" spans="1:8">
      <c r="A309" s="6">
        <v>80062</v>
      </c>
      <c r="B309" s="4" t="s">
        <v>332</v>
      </c>
      <c r="C309" s="4" t="s">
        <v>271</v>
      </c>
      <c r="D309" s="5" t="e">
        <v>#N/A</v>
      </c>
      <c r="E309" s="5" t="e">
        <v>#N/A</v>
      </c>
      <c r="F309" s="5" t="s">
        <v>15</v>
      </c>
      <c r="G309" s="5" t="e">
        <v>#N/A</v>
      </c>
      <c r="H309" s="5" t="e">
        <v>#N/A</v>
      </c>
    </row>
    <row r="310" spans="1:8">
      <c r="A310" s="6">
        <v>80063</v>
      </c>
      <c r="B310" s="4" t="s">
        <v>333</v>
      </c>
      <c r="C310" s="4" t="s">
        <v>271</v>
      </c>
      <c r="D310" s="5">
        <v>231</v>
      </c>
      <c r="E310" s="5">
        <v>3</v>
      </c>
      <c r="F310" s="5" t="s">
        <v>15</v>
      </c>
      <c r="G310" s="5">
        <v>120</v>
      </c>
      <c r="H310" s="5">
        <v>111</v>
      </c>
    </row>
    <row r="311" spans="1:8">
      <c r="A311" s="6">
        <v>80064</v>
      </c>
      <c r="B311" s="4" t="s">
        <v>334</v>
      </c>
      <c r="C311" s="4" t="s">
        <v>271</v>
      </c>
      <c r="D311" s="5">
        <v>219</v>
      </c>
      <c r="E311" s="5">
        <v>4</v>
      </c>
      <c r="F311" s="5" t="s">
        <v>13</v>
      </c>
      <c r="G311" s="5">
        <v>129</v>
      </c>
      <c r="H311" s="5">
        <v>90</v>
      </c>
    </row>
    <row r="312" spans="1:8">
      <c r="A312" s="6">
        <v>80065</v>
      </c>
      <c r="B312" s="4" t="s">
        <v>335</v>
      </c>
      <c r="C312" s="4" t="s">
        <v>271</v>
      </c>
      <c r="D312" s="5" t="e">
        <v>#N/A</v>
      </c>
      <c r="E312" s="5" t="e">
        <v>#N/A</v>
      </c>
      <c r="F312" s="5" t="s">
        <v>13</v>
      </c>
      <c r="G312" s="5" t="e">
        <v>#N/A</v>
      </c>
      <c r="H312" s="5" t="e">
        <v>#N/A</v>
      </c>
    </row>
    <row r="313" spans="1:8">
      <c r="A313" s="6">
        <v>80066</v>
      </c>
      <c r="B313" s="4" t="s">
        <v>336</v>
      </c>
      <c r="C313" s="4" t="s">
        <v>271</v>
      </c>
      <c r="D313" s="5">
        <v>232</v>
      </c>
      <c r="E313" s="5">
        <v>3</v>
      </c>
      <c r="F313" s="5" t="s">
        <v>13</v>
      </c>
      <c r="G313" s="5">
        <v>125</v>
      </c>
      <c r="H313" s="5">
        <v>107</v>
      </c>
    </row>
    <row r="314" spans="1:8">
      <c r="A314" s="6">
        <v>80067</v>
      </c>
      <c r="B314" s="4" t="s">
        <v>337</v>
      </c>
      <c r="C314" s="4" t="s">
        <v>271</v>
      </c>
      <c r="D314" s="5" t="e">
        <v>#N/A</v>
      </c>
      <c r="E314" s="5" t="e">
        <v>#N/A</v>
      </c>
      <c r="F314" s="5" t="s">
        <v>13</v>
      </c>
      <c r="G314" s="5" t="e">
        <v>#N/A</v>
      </c>
      <c r="H314" s="5" t="e">
        <v>#N/A</v>
      </c>
    </row>
    <row r="315" spans="1:8">
      <c r="A315" s="6">
        <v>90001</v>
      </c>
      <c r="B315" s="4" t="s">
        <v>338</v>
      </c>
      <c r="C315" s="4" t="s">
        <v>339</v>
      </c>
      <c r="D315" s="5" t="e">
        <v>#N/A</v>
      </c>
      <c r="E315" s="5" t="e">
        <v>#N/A</v>
      </c>
      <c r="F315" s="5" t="s">
        <v>15</v>
      </c>
      <c r="G315" s="5" t="e">
        <v>#N/A</v>
      </c>
      <c r="H315" s="5" t="e">
        <v>#N/A</v>
      </c>
    </row>
    <row r="316" spans="1:8">
      <c r="A316" s="6">
        <v>90002</v>
      </c>
      <c r="B316" s="4" t="s">
        <v>340</v>
      </c>
      <c r="C316" s="4" t="s">
        <v>339</v>
      </c>
      <c r="D316" s="5">
        <v>275</v>
      </c>
      <c r="E316" s="5">
        <v>9</v>
      </c>
      <c r="F316" s="5" t="s">
        <v>15</v>
      </c>
      <c r="G316" s="5">
        <v>139</v>
      </c>
      <c r="H316" s="5">
        <v>136</v>
      </c>
    </row>
    <row r="317" spans="1:8">
      <c r="A317" s="6">
        <v>90003</v>
      </c>
      <c r="B317" s="4" t="s">
        <v>341</v>
      </c>
      <c r="C317" s="4" t="s">
        <v>339</v>
      </c>
      <c r="D317" s="5">
        <v>263</v>
      </c>
      <c r="E317" s="5">
        <v>8</v>
      </c>
      <c r="F317" s="5" t="s">
        <v>13</v>
      </c>
      <c r="G317" s="5">
        <v>134</v>
      </c>
      <c r="H317" s="5">
        <v>129</v>
      </c>
    </row>
    <row r="318" spans="1:8">
      <c r="A318" s="6">
        <v>90004</v>
      </c>
      <c r="B318" s="4" t="s">
        <v>342</v>
      </c>
      <c r="C318" s="4" t="s">
        <v>339</v>
      </c>
      <c r="D318" s="5">
        <v>247</v>
      </c>
      <c r="E318" s="5">
        <v>4</v>
      </c>
      <c r="F318" s="5" t="s">
        <v>15</v>
      </c>
      <c r="G318" s="5">
        <v>121</v>
      </c>
      <c r="H318" s="5">
        <v>126</v>
      </c>
    </row>
    <row r="319" spans="1:8">
      <c r="A319" s="6">
        <v>90005</v>
      </c>
      <c r="B319" s="4" t="s">
        <v>343</v>
      </c>
      <c r="C319" s="4" t="s">
        <v>339</v>
      </c>
      <c r="D319" s="5">
        <v>262</v>
      </c>
      <c r="E319" s="5">
        <v>11</v>
      </c>
      <c r="F319" s="5" t="s">
        <v>15</v>
      </c>
      <c r="G319" s="5">
        <v>138</v>
      </c>
      <c r="H319" s="5">
        <v>124</v>
      </c>
    </row>
    <row r="320" spans="1:8">
      <c r="A320" s="6">
        <v>90006</v>
      </c>
      <c r="B320" s="4" t="s">
        <v>344</v>
      </c>
      <c r="C320" s="4" t="s">
        <v>339</v>
      </c>
      <c r="D320" s="5">
        <v>252</v>
      </c>
      <c r="E320" s="5">
        <v>5</v>
      </c>
      <c r="F320" s="5" t="s">
        <v>15</v>
      </c>
      <c r="G320" s="5">
        <v>133</v>
      </c>
      <c r="H320" s="5">
        <v>119</v>
      </c>
    </row>
    <row r="321" spans="1:8">
      <c r="A321" s="6">
        <v>90007</v>
      </c>
      <c r="B321" s="4" t="s">
        <v>345</v>
      </c>
      <c r="C321" s="4" t="s">
        <v>339</v>
      </c>
      <c r="D321" s="5">
        <v>276</v>
      </c>
      <c r="E321" s="5">
        <v>13</v>
      </c>
      <c r="F321" s="5" t="s">
        <v>15</v>
      </c>
      <c r="G321" s="5">
        <v>143</v>
      </c>
      <c r="H321" s="5">
        <v>133</v>
      </c>
    </row>
    <row r="322" spans="1:8">
      <c r="A322" s="6">
        <v>90008</v>
      </c>
      <c r="B322" s="4" t="s">
        <v>346</v>
      </c>
      <c r="C322" s="4" t="s">
        <v>339</v>
      </c>
      <c r="D322" s="5">
        <v>266</v>
      </c>
      <c r="E322" s="5">
        <v>10</v>
      </c>
      <c r="F322" s="5" t="s">
        <v>13</v>
      </c>
      <c r="G322" s="5">
        <v>137</v>
      </c>
      <c r="H322" s="5">
        <v>129</v>
      </c>
    </row>
    <row r="323" spans="1:8">
      <c r="A323" s="6">
        <v>90009</v>
      </c>
      <c r="B323" s="4" t="s">
        <v>347</v>
      </c>
      <c r="C323" s="4" t="s">
        <v>339</v>
      </c>
      <c r="D323" s="5" t="e">
        <v>#N/A</v>
      </c>
      <c r="E323" s="5" t="e">
        <v>#N/A</v>
      </c>
      <c r="F323" s="5" t="s">
        <v>13</v>
      </c>
      <c r="G323" s="5" t="e">
        <v>#N/A</v>
      </c>
      <c r="H323" s="5" t="e">
        <v>#N/A</v>
      </c>
    </row>
    <row r="324" spans="1:8">
      <c r="A324" s="6">
        <v>90010</v>
      </c>
      <c r="B324" s="4" t="s">
        <v>348</v>
      </c>
      <c r="C324" s="4" t="s">
        <v>339</v>
      </c>
      <c r="D324" s="5" t="e">
        <v>#N/A</v>
      </c>
      <c r="E324" s="5" t="e">
        <v>#N/A</v>
      </c>
      <c r="F324" s="5" t="s">
        <v>13</v>
      </c>
      <c r="G324" s="5" t="e">
        <v>#N/A</v>
      </c>
      <c r="H324" s="5" t="e">
        <v>#N/A</v>
      </c>
    </row>
    <row r="325" spans="1:8">
      <c r="A325" s="6">
        <v>90011</v>
      </c>
      <c r="B325" s="4" t="s">
        <v>349</v>
      </c>
      <c r="C325" s="4" t="s">
        <v>339</v>
      </c>
      <c r="D325" s="5" t="e">
        <v>#N/A</v>
      </c>
      <c r="E325" s="5" t="e">
        <v>#N/A</v>
      </c>
      <c r="F325" s="5" t="s">
        <v>15</v>
      </c>
      <c r="G325" s="5" t="e">
        <v>#N/A</v>
      </c>
      <c r="H325" s="5" t="e">
        <v>#N/A</v>
      </c>
    </row>
    <row r="326" spans="1:8">
      <c r="A326" s="6">
        <v>90012</v>
      </c>
      <c r="B326" s="4" t="s">
        <v>350</v>
      </c>
      <c r="C326" s="4" t="s">
        <v>339</v>
      </c>
      <c r="D326" s="5">
        <v>228</v>
      </c>
      <c r="E326" s="5">
        <v>2</v>
      </c>
      <c r="F326" s="5" t="s">
        <v>15</v>
      </c>
      <c r="G326" s="5">
        <v>117</v>
      </c>
      <c r="H326" s="5">
        <v>111</v>
      </c>
    </row>
    <row r="327" spans="1:8">
      <c r="A327" s="6">
        <v>90013</v>
      </c>
      <c r="B327" s="4" t="s">
        <v>351</v>
      </c>
      <c r="C327" s="4" t="s">
        <v>339</v>
      </c>
      <c r="D327" s="5">
        <v>262</v>
      </c>
      <c r="E327" s="5">
        <v>9</v>
      </c>
      <c r="F327" s="5" t="s">
        <v>13</v>
      </c>
      <c r="G327" s="5">
        <v>142</v>
      </c>
      <c r="H327" s="5">
        <v>120</v>
      </c>
    </row>
    <row r="328" spans="1:8">
      <c r="A328" s="6">
        <v>90014</v>
      </c>
      <c r="B328" s="4" t="s">
        <v>352</v>
      </c>
      <c r="C328" s="4" t="s">
        <v>339</v>
      </c>
      <c r="D328" s="5" t="e">
        <v>#N/A</v>
      </c>
      <c r="E328" s="5" t="e">
        <v>#N/A</v>
      </c>
      <c r="F328" s="5" t="s">
        <v>13</v>
      </c>
      <c r="G328" s="5" t="e">
        <v>#N/A</v>
      </c>
      <c r="H328" s="5" t="e">
        <v>#N/A</v>
      </c>
    </row>
    <row r="329" spans="1:8">
      <c r="A329" s="6">
        <v>90015</v>
      </c>
      <c r="B329" s="4" t="s">
        <v>353</v>
      </c>
      <c r="C329" s="4" t="s">
        <v>339</v>
      </c>
      <c r="D329" s="5">
        <v>255</v>
      </c>
      <c r="E329" s="5">
        <v>6</v>
      </c>
      <c r="F329" s="5" t="s">
        <v>13</v>
      </c>
      <c r="G329" s="5">
        <v>128</v>
      </c>
      <c r="H329" s="5">
        <v>127</v>
      </c>
    </row>
    <row r="330" spans="1:8">
      <c r="A330" s="6">
        <v>90016</v>
      </c>
      <c r="B330" s="4" t="s">
        <v>354</v>
      </c>
      <c r="C330" s="4" t="s">
        <v>339</v>
      </c>
      <c r="D330" s="5">
        <v>220</v>
      </c>
      <c r="E330" s="5">
        <v>4</v>
      </c>
      <c r="F330" s="5" t="s">
        <v>13</v>
      </c>
      <c r="G330" s="5">
        <v>116</v>
      </c>
      <c r="H330" s="5">
        <v>104</v>
      </c>
    </row>
    <row r="331" spans="1:8">
      <c r="A331" s="6">
        <v>90017</v>
      </c>
      <c r="B331" s="4" t="s">
        <v>355</v>
      </c>
      <c r="C331" s="4" t="s">
        <v>339</v>
      </c>
      <c r="D331" s="5">
        <v>268</v>
      </c>
      <c r="E331" s="5">
        <v>9</v>
      </c>
      <c r="F331" s="5" t="s">
        <v>13</v>
      </c>
      <c r="G331" s="5">
        <v>139</v>
      </c>
      <c r="H331" s="5">
        <v>129</v>
      </c>
    </row>
    <row r="332" spans="1:8">
      <c r="A332" s="6">
        <v>90018</v>
      </c>
      <c r="B332" s="4" t="s">
        <v>356</v>
      </c>
      <c r="C332" s="4" t="s">
        <v>339</v>
      </c>
      <c r="D332" s="5">
        <v>284</v>
      </c>
      <c r="E332" s="5">
        <v>17</v>
      </c>
      <c r="F332" s="5" t="s">
        <v>15</v>
      </c>
      <c r="G332" s="5">
        <v>143</v>
      </c>
      <c r="H332" s="5">
        <v>141</v>
      </c>
    </row>
    <row r="333" spans="1:8">
      <c r="A333" s="6">
        <v>90019</v>
      </c>
      <c r="B333" s="4" t="s">
        <v>357</v>
      </c>
      <c r="C333" s="4" t="s">
        <v>339</v>
      </c>
      <c r="D333" s="5">
        <v>254</v>
      </c>
      <c r="E333" s="5">
        <v>7</v>
      </c>
      <c r="F333" s="5" t="s">
        <v>13</v>
      </c>
      <c r="G333" s="5">
        <v>129</v>
      </c>
      <c r="H333" s="5">
        <v>125</v>
      </c>
    </row>
    <row r="334" spans="1:8">
      <c r="A334" s="6">
        <v>90020</v>
      </c>
      <c r="B334" s="4" t="s">
        <v>358</v>
      </c>
      <c r="C334" s="4" t="s">
        <v>339</v>
      </c>
      <c r="D334" s="5" t="e">
        <v>#N/A</v>
      </c>
      <c r="E334" s="5" t="e">
        <v>#N/A</v>
      </c>
      <c r="F334" s="5" t="s">
        <v>13</v>
      </c>
      <c r="G334" s="5" t="e">
        <v>#N/A</v>
      </c>
      <c r="H334" s="5" t="e">
        <v>#N/A</v>
      </c>
    </row>
    <row r="335" spans="1:8">
      <c r="A335" s="6">
        <v>90021</v>
      </c>
      <c r="B335" s="4" t="s">
        <v>359</v>
      </c>
      <c r="C335" s="4" t="s">
        <v>339</v>
      </c>
      <c r="D335" s="5">
        <v>234</v>
      </c>
      <c r="E335" s="5">
        <v>1</v>
      </c>
      <c r="F335" s="5" t="s">
        <v>13</v>
      </c>
      <c r="G335" s="5">
        <v>126</v>
      </c>
      <c r="H335" s="5">
        <v>108</v>
      </c>
    </row>
    <row r="336" spans="1:8">
      <c r="A336" s="6">
        <v>90022</v>
      </c>
      <c r="B336" s="4" t="s">
        <v>360</v>
      </c>
      <c r="C336" s="4" t="s">
        <v>339</v>
      </c>
      <c r="D336" s="5">
        <v>208</v>
      </c>
      <c r="E336" s="5">
        <v>5</v>
      </c>
      <c r="F336" s="5" t="s">
        <v>13</v>
      </c>
      <c r="G336" s="5">
        <v>106</v>
      </c>
      <c r="H336" s="5">
        <v>102</v>
      </c>
    </row>
    <row r="337" spans="1:8">
      <c r="A337" s="6">
        <v>90023</v>
      </c>
      <c r="B337" s="4" t="s">
        <v>361</v>
      </c>
      <c r="C337" s="4" t="s">
        <v>339</v>
      </c>
      <c r="D337" s="5">
        <v>255</v>
      </c>
      <c r="E337" s="5">
        <v>7</v>
      </c>
      <c r="F337" s="5" t="s">
        <v>15</v>
      </c>
      <c r="G337" s="5">
        <v>137</v>
      </c>
      <c r="H337" s="5">
        <v>118</v>
      </c>
    </row>
    <row r="338" spans="1:8">
      <c r="A338" s="6">
        <v>90024</v>
      </c>
      <c r="B338" s="4" t="s">
        <v>362</v>
      </c>
      <c r="C338" s="4" t="s">
        <v>339</v>
      </c>
      <c r="D338" s="5" t="e">
        <v>#N/A</v>
      </c>
      <c r="E338" s="5" t="e">
        <v>#N/A</v>
      </c>
      <c r="F338" s="5" t="s">
        <v>13</v>
      </c>
      <c r="G338" s="5" t="e">
        <v>#N/A</v>
      </c>
      <c r="H338" s="5" t="e">
        <v>#N/A</v>
      </c>
    </row>
    <row r="339" spans="1:8">
      <c r="A339" s="6">
        <v>90025</v>
      </c>
      <c r="B339" s="4" t="s">
        <v>363</v>
      </c>
      <c r="C339" s="4" t="s">
        <v>339</v>
      </c>
      <c r="D339" s="5">
        <v>200</v>
      </c>
      <c r="E339" s="5">
        <v>4</v>
      </c>
      <c r="F339" s="5" t="s">
        <v>13</v>
      </c>
      <c r="G339" s="5">
        <v>112</v>
      </c>
      <c r="H339" s="5">
        <v>88</v>
      </c>
    </row>
    <row r="340" spans="1:8">
      <c r="A340" s="6">
        <v>90026</v>
      </c>
      <c r="B340" s="4" t="s">
        <v>364</v>
      </c>
      <c r="C340" s="4" t="s">
        <v>339</v>
      </c>
      <c r="D340" s="5">
        <v>259</v>
      </c>
      <c r="E340" s="5">
        <v>9</v>
      </c>
      <c r="F340" s="5" t="s">
        <v>15</v>
      </c>
      <c r="G340" s="5">
        <v>141</v>
      </c>
      <c r="H340" s="5">
        <v>118</v>
      </c>
    </row>
    <row r="341" spans="1:8">
      <c r="A341" s="6">
        <v>90027</v>
      </c>
      <c r="B341" s="4" t="s">
        <v>365</v>
      </c>
      <c r="C341" s="4" t="s">
        <v>339</v>
      </c>
      <c r="D341" s="5">
        <v>238</v>
      </c>
      <c r="E341" s="5">
        <v>3</v>
      </c>
      <c r="F341" s="5" t="s">
        <v>15</v>
      </c>
      <c r="G341" s="5">
        <v>128</v>
      </c>
      <c r="H341" s="5">
        <v>110</v>
      </c>
    </row>
    <row r="342" spans="1:8">
      <c r="A342" s="6">
        <v>90028</v>
      </c>
      <c r="B342" s="4" t="s">
        <v>366</v>
      </c>
      <c r="C342" s="4" t="s">
        <v>339</v>
      </c>
      <c r="D342" s="5">
        <v>269</v>
      </c>
      <c r="E342" s="5">
        <v>9</v>
      </c>
      <c r="F342" s="5" t="s">
        <v>15</v>
      </c>
      <c r="G342" s="5">
        <v>140</v>
      </c>
      <c r="H342" s="5">
        <v>129</v>
      </c>
    </row>
    <row r="343" spans="1:8">
      <c r="A343" s="6">
        <v>90029</v>
      </c>
      <c r="B343" s="4" t="s">
        <v>367</v>
      </c>
      <c r="C343" s="4" t="s">
        <v>339</v>
      </c>
      <c r="D343" s="5">
        <v>246</v>
      </c>
      <c r="E343" s="5">
        <v>7</v>
      </c>
      <c r="F343" s="5" t="s">
        <v>15</v>
      </c>
      <c r="G343" s="5">
        <v>135</v>
      </c>
      <c r="H343" s="5">
        <v>111</v>
      </c>
    </row>
    <row r="344" spans="1:8">
      <c r="A344" s="6">
        <v>90030</v>
      </c>
      <c r="B344" s="4" t="s">
        <v>368</v>
      </c>
      <c r="C344" s="4" t="s">
        <v>339</v>
      </c>
      <c r="D344" s="5">
        <v>264</v>
      </c>
      <c r="E344" s="5">
        <v>9</v>
      </c>
      <c r="F344" s="5" t="s">
        <v>13</v>
      </c>
      <c r="G344" s="5">
        <v>138</v>
      </c>
      <c r="H344" s="5">
        <v>126</v>
      </c>
    </row>
    <row r="345" spans="1:8">
      <c r="A345" s="6">
        <v>90031</v>
      </c>
      <c r="B345" s="4" t="s">
        <v>369</v>
      </c>
      <c r="C345" s="4" t="s">
        <v>339</v>
      </c>
      <c r="D345" s="5">
        <v>247</v>
      </c>
      <c r="E345" s="5">
        <v>6</v>
      </c>
      <c r="F345" s="5" t="s">
        <v>15</v>
      </c>
      <c r="G345" s="5">
        <v>125</v>
      </c>
      <c r="H345" s="5">
        <v>122</v>
      </c>
    </row>
    <row r="346" spans="1:8">
      <c r="A346" s="6">
        <v>90032</v>
      </c>
      <c r="B346" s="4" t="s">
        <v>370</v>
      </c>
      <c r="C346" s="4" t="s">
        <v>339</v>
      </c>
      <c r="D346" s="5">
        <v>228</v>
      </c>
      <c r="E346" s="5">
        <v>2</v>
      </c>
      <c r="F346" s="5" t="s">
        <v>13</v>
      </c>
      <c r="G346" s="5">
        <v>124</v>
      </c>
      <c r="H346" s="5">
        <v>104</v>
      </c>
    </row>
    <row r="347" spans="1:8">
      <c r="A347" s="6">
        <v>90033</v>
      </c>
      <c r="B347" s="4" t="s">
        <v>371</v>
      </c>
      <c r="C347" s="4" t="s">
        <v>339</v>
      </c>
      <c r="D347" s="5">
        <v>258</v>
      </c>
      <c r="E347" s="5">
        <v>12</v>
      </c>
      <c r="F347" s="5" t="s">
        <v>13</v>
      </c>
      <c r="G347" s="5">
        <v>140</v>
      </c>
      <c r="H347" s="5">
        <v>118</v>
      </c>
    </row>
    <row r="348" spans="1:8">
      <c r="A348" s="6">
        <v>90034</v>
      </c>
      <c r="B348" s="4" t="s">
        <v>372</v>
      </c>
      <c r="C348" s="4" t="s">
        <v>339</v>
      </c>
      <c r="D348" s="5">
        <v>278</v>
      </c>
      <c r="E348" s="5">
        <v>13</v>
      </c>
      <c r="F348" s="5" t="s">
        <v>15</v>
      </c>
      <c r="G348" s="5">
        <v>143</v>
      </c>
      <c r="H348" s="5">
        <v>135</v>
      </c>
    </row>
    <row r="349" spans="1:8">
      <c r="A349" s="6">
        <v>90035</v>
      </c>
      <c r="B349" s="4" t="s">
        <v>373</v>
      </c>
      <c r="C349" s="4" t="s">
        <v>339</v>
      </c>
      <c r="D349" s="5">
        <v>245</v>
      </c>
      <c r="E349" s="5">
        <v>6</v>
      </c>
      <c r="F349" s="5" t="s">
        <v>15</v>
      </c>
      <c r="G349" s="5">
        <v>126</v>
      </c>
      <c r="H349" s="5">
        <v>119</v>
      </c>
    </row>
    <row r="350" spans="1:8">
      <c r="A350" s="6">
        <v>90036</v>
      </c>
      <c r="B350" s="4" t="s">
        <v>374</v>
      </c>
      <c r="C350" s="4" t="s">
        <v>339</v>
      </c>
      <c r="D350" s="5">
        <v>222</v>
      </c>
      <c r="E350" s="5">
        <v>3</v>
      </c>
      <c r="F350" s="5" t="s">
        <v>13</v>
      </c>
      <c r="G350" s="5">
        <v>124</v>
      </c>
      <c r="H350" s="5">
        <v>98</v>
      </c>
    </row>
    <row r="351" spans="1:8">
      <c r="A351" s="6">
        <v>90037</v>
      </c>
      <c r="B351" s="4" t="s">
        <v>375</v>
      </c>
      <c r="C351" s="4" t="s">
        <v>339</v>
      </c>
      <c r="D351" s="5">
        <v>226</v>
      </c>
      <c r="E351" s="5">
        <v>3</v>
      </c>
      <c r="F351" s="5" t="s">
        <v>13</v>
      </c>
      <c r="G351" s="5">
        <v>129</v>
      </c>
      <c r="H351" s="5">
        <v>97</v>
      </c>
    </row>
    <row r="352" spans="1:8">
      <c r="A352" s="6">
        <v>90038</v>
      </c>
      <c r="B352" s="4" t="s">
        <v>376</v>
      </c>
      <c r="C352" s="4" t="s">
        <v>339</v>
      </c>
      <c r="D352" s="5">
        <v>247</v>
      </c>
      <c r="E352" s="5">
        <v>6</v>
      </c>
      <c r="F352" s="5" t="s">
        <v>15</v>
      </c>
      <c r="G352" s="5">
        <v>132</v>
      </c>
      <c r="H352" s="5">
        <v>115</v>
      </c>
    </row>
    <row r="353" spans="1:8">
      <c r="A353" s="6">
        <v>90039</v>
      </c>
      <c r="B353" s="4" t="s">
        <v>377</v>
      </c>
      <c r="C353" s="4" t="s">
        <v>339</v>
      </c>
      <c r="D353" s="5">
        <v>274</v>
      </c>
      <c r="E353" s="5">
        <v>16</v>
      </c>
      <c r="F353" s="5" t="s">
        <v>15</v>
      </c>
      <c r="G353" s="5">
        <v>144</v>
      </c>
      <c r="H353" s="5">
        <v>130</v>
      </c>
    </row>
    <row r="354" spans="1:8">
      <c r="A354" s="6">
        <v>90040</v>
      </c>
      <c r="B354" s="4" t="s">
        <v>378</v>
      </c>
      <c r="C354" s="4" t="s">
        <v>339</v>
      </c>
      <c r="D354" s="5">
        <v>280</v>
      </c>
      <c r="E354" s="5">
        <v>18</v>
      </c>
      <c r="F354" s="5" t="s">
        <v>15</v>
      </c>
      <c r="G354" s="5">
        <v>144</v>
      </c>
      <c r="H354" s="5">
        <v>136</v>
      </c>
    </row>
    <row r="355" spans="1:8">
      <c r="A355" s="6">
        <v>90041</v>
      </c>
      <c r="B355" s="4" t="s">
        <v>379</v>
      </c>
      <c r="C355" s="4" t="s">
        <v>339</v>
      </c>
      <c r="D355" s="5" t="e">
        <v>#N/A</v>
      </c>
      <c r="E355" s="5" t="e">
        <v>#N/A</v>
      </c>
      <c r="F355" s="5" t="s">
        <v>13</v>
      </c>
      <c r="G355" s="5" t="e">
        <v>#N/A</v>
      </c>
      <c r="H355" s="5" t="e">
        <v>#N/A</v>
      </c>
    </row>
    <row r="356" spans="1:8">
      <c r="A356" s="6">
        <v>90042</v>
      </c>
      <c r="B356" s="4" t="s">
        <v>380</v>
      </c>
      <c r="C356" s="4" t="s">
        <v>339</v>
      </c>
      <c r="D356" s="5" t="e">
        <v>#N/A</v>
      </c>
      <c r="E356" s="5" t="e">
        <v>#N/A</v>
      </c>
      <c r="F356" s="5" t="s">
        <v>15</v>
      </c>
      <c r="G356" s="5" t="e">
        <v>#N/A</v>
      </c>
      <c r="H356" s="5" t="e">
        <v>#N/A</v>
      </c>
    </row>
    <row r="357" spans="1:8">
      <c r="A357" s="6">
        <v>90043</v>
      </c>
      <c r="B357" s="4" t="s">
        <v>381</v>
      </c>
      <c r="C357" s="4" t="s">
        <v>339</v>
      </c>
      <c r="D357" s="5" t="e">
        <v>#N/A</v>
      </c>
      <c r="E357" s="5" t="e">
        <v>#N/A</v>
      </c>
      <c r="F357" s="5" t="s">
        <v>13</v>
      </c>
      <c r="G357" s="5" t="e">
        <v>#N/A</v>
      </c>
      <c r="H357" s="5" t="e">
        <v>#N/A</v>
      </c>
    </row>
    <row r="358" spans="1:8">
      <c r="A358" s="6">
        <v>90044</v>
      </c>
      <c r="B358" s="4" t="s">
        <v>382</v>
      </c>
      <c r="C358" s="4" t="s">
        <v>339</v>
      </c>
      <c r="D358" s="5" t="e">
        <v>#N/A</v>
      </c>
      <c r="E358" s="5" t="e">
        <v>#N/A</v>
      </c>
      <c r="F358" s="5" t="s">
        <v>13</v>
      </c>
      <c r="G358" s="5" t="e">
        <v>#N/A</v>
      </c>
      <c r="H358" s="5" t="e"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BB3E-3920-4FF9-8854-1D1BA748F30D}">
  <dimension ref="A1:H338"/>
  <sheetViews>
    <sheetView topLeftCell="A141" workbookViewId="0">
      <selection activeCell="J328" sqref="J328"/>
    </sheetView>
  </sheetViews>
  <sheetFormatPr defaultRowHeight="15"/>
  <cols>
    <col min="2" max="2" width="20.28515625" customWidth="1"/>
    <col min="3" max="3" width="23" customWidth="1"/>
    <col min="4" max="4" width="13.85546875" customWidth="1"/>
  </cols>
  <sheetData>
    <row r="1" spans="1:8">
      <c r="A1" s="7" t="str">
        <f ca="1">IFERROR(__xludf.DUMMYFUNCTION("""COMPUTED_VALUE"""),"ID")</f>
        <v>ID</v>
      </c>
      <c r="B1" s="7" t="str">
        <f ca="1">IFERROR(__xludf.DUMMYFUNCTION("""COMPUTED_VALUE"""),"NAME")</f>
        <v>NAME</v>
      </c>
      <c r="C1" s="7" t="str">
        <f ca="1">IFERROR(__xludf.DUMMYFUNCTION("""COMPUTED_VALUE"""),"SCHOOL")</f>
        <v>SCHOOL</v>
      </c>
      <c r="D1" s="7" t="str">
        <f ca="1">IFERROR(__xludf.DUMMYFUNCTION("""COMPUTED_VALUE"""),"DIVISION")</f>
        <v>DIVISION</v>
      </c>
      <c r="E1" s="8" t="str">
        <f ca="1">IFERROR(__xludf.DUMMYFUNCTION("""COMPUTED_VALUE"""),"TOTAL")</f>
        <v>TOTAL</v>
      </c>
      <c r="F1" s="8" t="str">
        <f ca="1">IFERROR(__xludf.DUMMYFUNCTION("""COMPUTED_VALUE"""),"10'S")</f>
        <v>10'S</v>
      </c>
      <c r="G1" s="8" t="str">
        <f ca="1">IFERROR(__xludf.DUMMYFUNCTION("""COMPUTED_VALUE"""),"10M SCORE")</f>
        <v>10M SCORE</v>
      </c>
      <c r="H1" s="8" t="str">
        <f ca="1">IFERROR(__xludf.DUMMYFUNCTION("""COMPUTED_VALUE"""),"15M SCORE")</f>
        <v>15M SCORE</v>
      </c>
    </row>
    <row r="2" spans="1:8">
      <c r="A2" s="9">
        <f ca="1">IFERROR(__xludf.DUMMYFUNCTION("""COMPUTED_VALUE"""),10001)</f>
        <v>10001</v>
      </c>
      <c r="B2" s="10" t="str">
        <f ca="1">IFERROR(__xludf.DUMMYFUNCTION("""COMPUTED_VALUE"""),"Darwin Hsieh")</f>
        <v>Darwin Hsieh</v>
      </c>
      <c r="C2" s="10" t="str">
        <f ca="1">IFERROR(__xludf.DUMMYFUNCTION("""COMPUTED_VALUE"""),"Anderson High School")</f>
        <v>Anderson High School</v>
      </c>
      <c r="D2" s="10" t="str">
        <f ca="1">IFERROR(__xludf.DUMMYFUNCTION("""COMPUTED_VALUE"""),"HS")</f>
        <v>HS</v>
      </c>
      <c r="E2" s="10">
        <f ca="1">IFERROR(__xludf.DUMMYFUNCTION("""COMPUTED_VALUE"""),184)</f>
        <v>184</v>
      </c>
      <c r="F2" s="10">
        <f ca="1">IFERROR(__xludf.DUMMYFUNCTION("""COMPUTED_VALUE"""),2)</f>
        <v>2</v>
      </c>
      <c r="G2" s="10">
        <f ca="1">IFERROR(__xludf.DUMMYFUNCTION("""COMPUTED_VALUE"""),105)</f>
        <v>105</v>
      </c>
      <c r="H2" s="10">
        <f ca="1">IFERROR(__xludf.DUMMYFUNCTION("""COMPUTED_VALUE"""),79)</f>
        <v>79</v>
      </c>
    </row>
    <row r="3" spans="1:8">
      <c r="A3" s="9">
        <f ca="1">IFERROR(__xludf.DUMMYFUNCTION("""COMPUTED_VALUE"""),10002)</f>
        <v>10002</v>
      </c>
      <c r="B3" s="10" t="str">
        <f ca="1">IFERROR(__xludf.DUMMYFUNCTION("""COMPUTED_VALUE"""),"Eleanor Bader")</f>
        <v>Eleanor Bader</v>
      </c>
      <c r="C3" s="10" t="str">
        <f ca="1">IFERROR(__xludf.DUMMYFUNCTION("""COMPUTED_VALUE"""),"Anderson High School")</f>
        <v>Anderson High School</v>
      </c>
      <c r="D3" s="10" t="str">
        <f ca="1">IFERROR(__xludf.DUMMYFUNCTION("""COMPUTED_VALUE"""),"HS")</f>
        <v>HS</v>
      </c>
      <c r="E3" s="10">
        <f ca="1">IFERROR(__xludf.DUMMYFUNCTION("""COMPUTED_VALUE"""),271)</f>
        <v>271</v>
      </c>
      <c r="F3" s="10">
        <f ca="1">IFERROR(__xludf.DUMMYFUNCTION("""COMPUTED_VALUE"""),10)</f>
        <v>10</v>
      </c>
      <c r="G3" s="10">
        <f ca="1">IFERROR(__xludf.DUMMYFUNCTION("""COMPUTED_VALUE"""),139)</f>
        <v>139</v>
      </c>
      <c r="H3" s="10">
        <f ca="1">IFERROR(__xludf.DUMMYFUNCTION("""COMPUTED_VALUE"""),132)</f>
        <v>132</v>
      </c>
    </row>
    <row r="4" spans="1:8">
      <c r="A4" s="9">
        <f ca="1">IFERROR(__xludf.DUMMYFUNCTION("""COMPUTED_VALUE"""),10003)</f>
        <v>10003</v>
      </c>
      <c r="B4" s="10" t="str">
        <f ca="1">IFERROR(__xludf.DUMMYFUNCTION("""COMPUTED_VALUE"""),"Henry Dayton")</f>
        <v>Henry Dayton</v>
      </c>
      <c r="C4" s="10" t="str">
        <f ca="1">IFERROR(__xludf.DUMMYFUNCTION("""COMPUTED_VALUE"""),"Anderson High School")</f>
        <v>Anderson High School</v>
      </c>
      <c r="D4" s="10" t="str">
        <f ca="1">IFERROR(__xludf.DUMMYFUNCTION("""COMPUTED_VALUE"""),"HS")</f>
        <v>HS</v>
      </c>
      <c r="E4" s="10">
        <f ca="1">IFERROR(__xludf.DUMMYFUNCTION("""COMPUTED_VALUE"""),236)</f>
        <v>236</v>
      </c>
      <c r="F4" s="10">
        <f ca="1">IFERROR(__xludf.DUMMYFUNCTION("""COMPUTED_VALUE"""),7)</f>
        <v>7</v>
      </c>
      <c r="G4" s="10">
        <f ca="1">IFERROR(__xludf.DUMMYFUNCTION("""COMPUTED_VALUE"""),129)</f>
        <v>129</v>
      </c>
      <c r="H4" s="10">
        <f ca="1">IFERROR(__xludf.DUMMYFUNCTION("""COMPUTED_VALUE"""),107)</f>
        <v>107</v>
      </c>
    </row>
    <row r="5" spans="1:8">
      <c r="A5" s="9">
        <f ca="1">IFERROR(__xludf.DUMMYFUNCTION("""COMPUTED_VALUE"""),10004)</f>
        <v>10004</v>
      </c>
      <c r="B5" s="10" t="str">
        <f ca="1">IFERROR(__xludf.DUMMYFUNCTION("""COMPUTED_VALUE"""),"Juni Booth")</f>
        <v>Juni Booth</v>
      </c>
      <c r="C5" s="10" t="str">
        <f ca="1">IFERROR(__xludf.DUMMYFUNCTION("""COMPUTED_VALUE"""),"Anderson High School")</f>
        <v>Anderson High School</v>
      </c>
      <c r="D5" s="10" t="str">
        <f ca="1">IFERROR(__xludf.DUMMYFUNCTION("""COMPUTED_VALUE"""),"HS")</f>
        <v>HS</v>
      </c>
      <c r="E5" s="10">
        <f ca="1">IFERROR(__xludf.DUMMYFUNCTION("""COMPUTED_VALUE"""),221)</f>
        <v>221</v>
      </c>
      <c r="F5" s="10">
        <f ca="1">IFERROR(__xludf.DUMMYFUNCTION("""COMPUTED_VALUE"""),1)</f>
        <v>1</v>
      </c>
      <c r="G5" s="10">
        <f ca="1">IFERROR(__xludf.DUMMYFUNCTION("""COMPUTED_VALUE"""),108)</f>
        <v>108</v>
      </c>
      <c r="H5" s="10">
        <f ca="1">IFERROR(__xludf.DUMMYFUNCTION("""COMPUTED_VALUE"""),113)</f>
        <v>113</v>
      </c>
    </row>
    <row r="6" spans="1:8">
      <c r="A6" s="9">
        <f ca="1">IFERROR(__xludf.DUMMYFUNCTION("""COMPUTED_VALUE"""),10005)</f>
        <v>10005</v>
      </c>
      <c r="B6" s="10" t="str">
        <f ca="1">IFERROR(__xludf.DUMMYFUNCTION("""COMPUTED_VALUE"""),"Larry Hong")</f>
        <v>Larry Hong</v>
      </c>
      <c r="C6" s="10" t="str">
        <f ca="1">IFERROR(__xludf.DUMMYFUNCTION("""COMPUTED_VALUE"""),"Anderson High School")</f>
        <v>Anderson High School</v>
      </c>
      <c r="D6" s="10" t="str">
        <f ca="1">IFERROR(__xludf.DUMMYFUNCTION("""COMPUTED_VALUE"""),"HS")</f>
        <v>HS</v>
      </c>
      <c r="E6" s="10">
        <f ca="1">IFERROR(__xludf.DUMMYFUNCTION("""COMPUTED_VALUE"""),216)</f>
        <v>216</v>
      </c>
      <c r="F6" s="10">
        <f ca="1">IFERROR(__xludf.DUMMYFUNCTION("""COMPUTED_VALUE"""),5)</f>
        <v>5</v>
      </c>
      <c r="G6" s="10">
        <f ca="1">IFERROR(__xludf.DUMMYFUNCTION("""COMPUTED_VALUE"""),125)</f>
        <v>125</v>
      </c>
      <c r="H6" s="10">
        <f ca="1">IFERROR(__xludf.DUMMYFUNCTION("""COMPUTED_VALUE"""),91)</f>
        <v>91</v>
      </c>
    </row>
    <row r="7" spans="1:8">
      <c r="A7" s="9">
        <f ca="1">IFERROR(__xludf.DUMMYFUNCTION("""COMPUTED_VALUE"""),10006)</f>
        <v>10006</v>
      </c>
      <c r="B7" s="10" t="str">
        <f ca="1">IFERROR(__xludf.DUMMYFUNCTION("""COMPUTED_VALUE"""),"Reed Freytag")</f>
        <v>Reed Freytag</v>
      </c>
      <c r="C7" s="10" t="str">
        <f ca="1">IFERROR(__xludf.DUMMYFUNCTION("""COMPUTED_VALUE"""),"Anderson High School")</f>
        <v>Anderson High School</v>
      </c>
      <c r="D7" s="10" t="str">
        <f ca="1">IFERROR(__xludf.DUMMYFUNCTION("""COMPUTED_VALUE"""),"HS")</f>
        <v>HS</v>
      </c>
      <c r="E7" s="10">
        <f ca="1">IFERROR(__xludf.DUMMYFUNCTION("""COMPUTED_VALUE"""),216)</f>
        <v>216</v>
      </c>
      <c r="F7" s="10">
        <f ca="1">IFERROR(__xludf.DUMMYFUNCTION("""COMPUTED_VALUE"""),4)</f>
        <v>4</v>
      </c>
      <c r="G7" s="10">
        <f ca="1">IFERROR(__xludf.DUMMYFUNCTION("""COMPUTED_VALUE"""),122)</f>
        <v>122</v>
      </c>
      <c r="H7" s="10">
        <f ca="1">IFERROR(__xludf.DUMMYFUNCTION("""COMPUTED_VALUE"""),94)</f>
        <v>94</v>
      </c>
    </row>
    <row r="8" spans="1:8">
      <c r="A8" s="9">
        <f ca="1">IFERROR(__xludf.DUMMYFUNCTION("""COMPUTED_VALUE"""),10007)</f>
        <v>10007</v>
      </c>
      <c r="B8" s="10" t="str">
        <f ca="1">IFERROR(__xludf.DUMMYFUNCTION("""COMPUTED_VALUE"""),"Sullivan Willyard")</f>
        <v>Sullivan Willyard</v>
      </c>
      <c r="C8" s="10" t="str">
        <f ca="1">IFERROR(__xludf.DUMMYFUNCTION("""COMPUTED_VALUE"""),"Anderson High School")</f>
        <v>Anderson High School</v>
      </c>
      <c r="D8" s="10" t="str">
        <f ca="1">IFERROR(__xludf.DUMMYFUNCTION("""COMPUTED_VALUE"""),"HS")</f>
        <v>HS</v>
      </c>
      <c r="E8" s="10">
        <f ca="1">IFERROR(__xludf.DUMMYFUNCTION("""COMPUTED_VALUE"""),251)</f>
        <v>251</v>
      </c>
      <c r="F8" s="10">
        <f ca="1">IFERROR(__xludf.DUMMYFUNCTION("""COMPUTED_VALUE"""),6)</f>
        <v>6</v>
      </c>
      <c r="G8" s="10">
        <f ca="1">IFERROR(__xludf.DUMMYFUNCTION("""COMPUTED_VALUE"""),133)</f>
        <v>133</v>
      </c>
      <c r="H8" s="10">
        <f ca="1">IFERROR(__xludf.DUMMYFUNCTION("""COMPUTED_VALUE"""),118)</f>
        <v>118</v>
      </c>
    </row>
    <row r="9" spans="1:8">
      <c r="A9" s="9">
        <f ca="1">IFERROR(__xludf.DUMMYFUNCTION("""COMPUTED_VALUE"""),10008)</f>
        <v>10008</v>
      </c>
      <c r="B9" s="10" t="str">
        <f ca="1">IFERROR(__xludf.DUMMYFUNCTION("""COMPUTED_VALUE"""),"Will Turner")</f>
        <v>Will Turner</v>
      </c>
      <c r="C9" s="10" t="str">
        <f ca="1">IFERROR(__xludf.DUMMYFUNCTION("""COMPUTED_VALUE"""),"Anderson High School")</f>
        <v>Anderson High School</v>
      </c>
      <c r="D9" s="10" t="str">
        <f ca="1">IFERROR(__xludf.DUMMYFUNCTION("""COMPUTED_VALUE"""),"HS")</f>
        <v>HS</v>
      </c>
      <c r="E9" s="10">
        <f ca="1">IFERROR(__xludf.DUMMYFUNCTION("""COMPUTED_VALUE"""),234)</f>
        <v>234</v>
      </c>
      <c r="F9" s="10">
        <f ca="1">IFERROR(__xludf.DUMMYFUNCTION("""COMPUTED_VALUE"""),1)</f>
        <v>1</v>
      </c>
      <c r="G9" s="10">
        <f ca="1">IFERROR(__xludf.DUMMYFUNCTION("""COMPUTED_VALUE"""),120)</f>
        <v>120</v>
      </c>
      <c r="H9" s="10">
        <f ca="1">IFERROR(__xludf.DUMMYFUNCTION("""COMPUTED_VALUE"""),114)</f>
        <v>114</v>
      </c>
    </row>
    <row r="10" spans="1:8">
      <c r="A10" s="9">
        <f ca="1">IFERROR(__xludf.DUMMYFUNCTION("""COMPUTED_VALUE"""),11001)</f>
        <v>11001</v>
      </c>
      <c r="B10" s="10" t="str">
        <f ca="1">IFERROR(__xludf.DUMMYFUNCTION("""COMPUTED_VALUE"""),"Alejandro Rosa-Rosa")</f>
        <v>Alejandro Rosa-Rosa</v>
      </c>
      <c r="C10" s="10" t="str">
        <f ca="1">IFERROR(__xludf.DUMMYFUNCTION("""COMPUTED_VALUE"""),"LASA")</f>
        <v>LASA</v>
      </c>
      <c r="D10" s="10" t="str">
        <f ca="1">IFERROR(__xludf.DUMMYFUNCTION("""COMPUTED_VALUE"""),"HS")</f>
        <v>HS</v>
      </c>
      <c r="E10" s="10">
        <f ca="1">IFERROR(__xludf.DUMMYFUNCTION("""COMPUTED_VALUE"""),234)</f>
        <v>234</v>
      </c>
      <c r="F10" s="10">
        <f ca="1">IFERROR(__xludf.DUMMYFUNCTION("""COMPUTED_VALUE"""),4)</f>
        <v>4</v>
      </c>
      <c r="G10" s="10">
        <f ca="1">IFERROR(__xludf.DUMMYFUNCTION("""COMPUTED_VALUE"""),132)</f>
        <v>132</v>
      </c>
      <c r="H10" s="10">
        <f ca="1">IFERROR(__xludf.DUMMYFUNCTION("""COMPUTED_VALUE"""),102)</f>
        <v>102</v>
      </c>
    </row>
    <row r="11" spans="1:8">
      <c r="A11" s="9">
        <f ca="1">IFERROR(__xludf.DUMMYFUNCTION("""COMPUTED_VALUE"""),11003)</f>
        <v>11003</v>
      </c>
      <c r="B11" s="10" t="str">
        <f ca="1">IFERROR(__xludf.DUMMYFUNCTION("""COMPUTED_VALUE"""),"Ari Durnal-Harry")</f>
        <v>Ari Durnal-Harry</v>
      </c>
      <c r="C11" s="10" t="str">
        <f ca="1">IFERROR(__xludf.DUMMYFUNCTION("""COMPUTED_VALUE"""),"LASA")</f>
        <v>LASA</v>
      </c>
      <c r="D11" s="10" t="str">
        <f ca="1">IFERROR(__xludf.DUMMYFUNCTION("""COMPUTED_VALUE"""),"HS")</f>
        <v>HS</v>
      </c>
      <c r="E11" s="10">
        <f ca="1">IFERROR(__xludf.DUMMYFUNCTION("""COMPUTED_VALUE"""),279)</f>
        <v>279</v>
      </c>
      <c r="F11" s="10">
        <f ca="1">IFERROR(__xludf.DUMMYFUNCTION("""COMPUTED_VALUE"""),15)</f>
        <v>15</v>
      </c>
      <c r="G11" s="10">
        <f ca="1">IFERROR(__xludf.DUMMYFUNCTION("""COMPUTED_VALUE"""),145)</f>
        <v>145</v>
      </c>
      <c r="H11" s="10">
        <f ca="1">IFERROR(__xludf.DUMMYFUNCTION("""COMPUTED_VALUE"""),134)</f>
        <v>134</v>
      </c>
    </row>
    <row r="12" spans="1:8">
      <c r="A12" s="9">
        <f ca="1">IFERROR(__xludf.DUMMYFUNCTION("""COMPUTED_VALUE"""),11005)</f>
        <v>11005</v>
      </c>
      <c r="B12" s="10" t="str">
        <f ca="1">IFERROR(__xludf.DUMMYFUNCTION("""COMPUTED_VALUE"""),"Avery Luther")</f>
        <v>Avery Luther</v>
      </c>
      <c r="C12" s="10" t="str">
        <f ca="1">IFERROR(__xludf.DUMMYFUNCTION("""COMPUTED_VALUE"""),"LASA")</f>
        <v>LASA</v>
      </c>
      <c r="D12" s="10" t="str">
        <f ca="1">IFERROR(__xludf.DUMMYFUNCTION("""COMPUTED_VALUE"""),"HS")</f>
        <v>HS</v>
      </c>
      <c r="E12" s="10">
        <f ca="1">IFERROR(__xludf.DUMMYFUNCTION("""COMPUTED_VALUE"""),257)</f>
        <v>257</v>
      </c>
      <c r="F12" s="10">
        <f ca="1">IFERROR(__xludf.DUMMYFUNCTION("""COMPUTED_VALUE"""),6)</f>
        <v>6</v>
      </c>
      <c r="G12" s="10">
        <f ca="1">IFERROR(__xludf.DUMMYFUNCTION("""COMPUTED_VALUE"""),128)</f>
        <v>128</v>
      </c>
      <c r="H12" s="10">
        <f ca="1">IFERROR(__xludf.DUMMYFUNCTION("""COMPUTED_VALUE"""),129)</f>
        <v>129</v>
      </c>
    </row>
    <row r="13" spans="1:8">
      <c r="A13" s="9">
        <f ca="1">IFERROR(__xludf.DUMMYFUNCTION("""COMPUTED_VALUE"""),11006)</f>
        <v>11006</v>
      </c>
      <c r="B13" s="10" t="str">
        <f ca="1">IFERROR(__xludf.DUMMYFUNCTION("""COMPUTED_VALUE"""),"Benjamin Spitta")</f>
        <v>Benjamin Spitta</v>
      </c>
      <c r="C13" s="10" t="str">
        <f ca="1">IFERROR(__xludf.DUMMYFUNCTION("""COMPUTED_VALUE"""),"LASA")</f>
        <v>LASA</v>
      </c>
      <c r="D13" s="10" t="str">
        <f ca="1">IFERROR(__xludf.DUMMYFUNCTION("""COMPUTED_VALUE"""),"HS")</f>
        <v>HS</v>
      </c>
      <c r="E13" s="10">
        <f ca="1">IFERROR(__xludf.DUMMYFUNCTION("""COMPUTED_VALUE"""),265)</f>
        <v>265</v>
      </c>
      <c r="F13" s="10">
        <f ca="1">IFERROR(__xludf.DUMMYFUNCTION("""COMPUTED_VALUE"""),5)</f>
        <v>5</v>
      </c>
      <c r="G13" s="10">
        <f ca="1">IFERROR(__xludf.DUMMYFUNCTION("""COMPUTED_VALUE"""),137)</f>
        <v>137</v>
      </c>
      <c r="H13" s="10">
        <f ca="1">IFERROR(__xludf.DUMMYFUNCTION("""COMPUTED_VALUE"""),128)</f>
        <v>128</v>
      </c>
    </row>
    <row r="14" spans="1:8">
      <c r="A14" s="9">
        <f ca="1">IFERROR(__xludf.DUMMYFUNCTION("""COMPUTED_VALUE"""),11007)</f>
        <v>11007</v>
      </c>
      <c r="B14" s="10" t="str">
        <f ca="1">IFERROR(__xludf.DUMMYFUNCTION("""COMPUTED_VALUE"""),"C Bosquez")</f>
        <v>C Bosquez</v>
      </c>
      <c r="C14" s="10" t="str">
        <f ca="1">IFERROR(__xludf.DUMMYFUNCTION("""COMPUTED_VALUE"""),"LASA")</f>
        <v>LASA</v>
      </c>
      <c r="D14" s="10" t="str">
        <f ca="1">IFERROR(__xludf.DUMMYFUNCTION("""COMPUTED_VALUE"""),"HS")</f>
        <v>HS</v>
      </c>
      <c r="E14" s="10">
        <f ca="1">IFERROR(__xludf.DUMMYFUNCTION("""COMPUTED_VALUE"""),272)</f>
        <v>272</v>
      </c>
      <c r="F14" s="10">
        <f ca="1">IFERROR(__xludf.DUMMYFUNCTION("""COMPUTED_VALUE"""),8)</f>
        <v>8</v>
      </c>
      <c r="G14" s="10">
        <f ca="1">IFERROR(__xludf.DUMMYFUNCTION("""COMPUTED_VALUE"""),140)</f>
        <v>140</v>
      </c>
      <c r="H14" s="10">
        <f ca="1">IFERROR(__xludf.DUMMYFUNCTION("""COMPUTED_VALUE"""),132)</f>
        <v>132</v>
      </c>
    </row>
    <row r="15" spans="1:8">
      <c r="A15" s="9">
        <f ca="1">IFERROR(__xludf.DUMMYFUNCTION("""COMPUTED_VALUE"""),11008)</f>
        <v>11008</v>
      </c>
      <c r="B15" s="10" t="str">
        <f ca="1">IFERROR(__xludf.DUMMYFUNCTION("""COMPUTED_VALUE"""),"Cain Darling")</f>
        <v>Cain Darling</v>
      </c>
      <c r="C15" s="10" t="str">
        <f ca="1">IFERROR(__xludf.DUMMYFUNCTION("""COMPUTED_VALUE"""),"LASA")</f>
        <v>LASA</v>
      </c>
      <c r="D15" s="10" t="str">
        <f ca="1">IFERROR(__xludf.DUMMYFUNCTION("""COMPUTED_VALUE"""),"HS")</f>
        <v>HS</v>
      </c>
      <c r="E15" s="10">
        <f ca="1">IFERROR(__xludf.DUMMYFUNCTION("""COMPUTED_VALUE"""),247)</f>
        <v>247</v>
      </c>
      <c r="F15" s="10">
        <f ca="1">IFERROR(__xludf.DUMMYFUNCTION("""COMPUTED_VALUE"""),4)</f>
        <v>4</v>
      </c>
      <c r="G15" s="10">
        <f ca="1">IFERROR(__xludf.DUMMYFUNCTION("""COMPUTED_VALUE"""),126)</f>
        <v>126</v>
      </c>
      <c r="H15" s="10">
        <f ca="1">IFERROR(__xludf.DUMMYFUNCTION("""COMPUTED_VALUE"""),121)</f>
        <v>121</v>
      </c>
    </row>
    <row r="16" spans="1:8">
      <c r="A16" s="9">
        <f ca="1">IFERROR(__xludf.DUMMYFUNCTION("""COMPUTED_VALUE"""),11009)</f>
        <v>11009</v>
      </c>
      <c r="B16" s="10" t="str">
        <f ca="1">IFERROR(__xludf.DUMMYFUNCTION("""COMPUTED_VALUE"""),"Caroline Browne")</f>
        <v>Caroline Browne</v>
      </c>
      <c r="C16" s="10" t="str">
        <f ca="1">IFERROR(__xludf.DUMMYFUNCTION("""COMPUTED_VALUE"""),"LASA")</f>
        <v>LASA</v>
      </c>
      <c r="D16" s="10" t="str">
        <f ca="1">IFERROR(__xludf.DUMMYFUNCTION("""COMPUTED_VALUE"""),"HS")</f>
        <v>HS</v>
      </c>
      <c r="E16" s="10">
        <f ca="1">IFERROR(__xludf.DUMMYFUNCTION("""COMPUTED_VALUE"""),236)</f>
        <v>236</v>
      </c>
      <c r="F16" s="10">
        <f ca="1">IFERROR(__xludf.DUMMYFUNCTION("""COMPUTED_VALUE"""),5)</f>
        <v>5</v>
      </c>
      <c r="G16" s="10">
        <f ca="1">IFERROR(__xludf.DUMMYFUNCTION("""COMPUTED_VALUE"""),126)</f>
        <v>126</v>
      </c>
      <c r="H16" s="10">
        <f ca="1">IFERROR(__xludf.DUMMYFUNCTION("""COMPUTED_VALUE"""),110)</f>
        <v>110</v>
      </c>
    </row>
    <row r="17" spans="1:8">
      <c r="A17" s="9">
        <f ca="1">IFERROR(__xludf.DUMMYFUNCTION("""COMPUTED_VALUE"""),11010)</f>
        <v>11010</v>
      </c>
      <c r="B17" s="10" t="str">
        <f ca="1">IFERROR(__xludf.DUMMYFUNCTION("""COMPUTED_VALUE"""),"David Kilday")</f>
        <v>David Kilday</v>
      </c>
      <c r="C17" s="10" t="str">
        <f ca="1">IFERROR(__xludf.DUMMYFUNCTION("""COMPUTED_VALUE"""),"LASA")</f>
        <v>LASA</v>
      </c>
      <c r="D17" s="10" t="str">
        <f ca="1">IFERROR(__xludf.DUMMYFUNCTION("""COMPUTED_VALUE"""),"HS")</f>
        <v>HS</v>
      </c>
      <c r="E17" s="10">
        <f ca="1">IFERROR(__xludf.DUMMYFUNCTION("""COMPUTED_VALUE"""),261)</f>
        <v>261</v>
      </c>
      <c r="F17" s="10">
        <f ca="1">IFERROR(__xludf.DUMMYFUNCTION("""COMPUTED_VALUE"""),5)</f>
        <v>5</v>
      </c>
      <c r="G17" s="10">
        <f ca="1">IFERROR(__xludf.DUMMYFUNCTION("""COMPUTED_VALUE"""),134)</f>
        <v>134</v>
      </c>
      <c r="H17" s="10">
        <f ca="1">IFERROR(__xludf.DUMMYFUNCTION("""COMPUTED_VALUE"""),127)</f>
        <v>127</v>
      </c>
    </row>
    <row r="18" spans="1:8">
      <c r="A18" s="9">
        <f ca="1">IFERROR(__xludf.DUMMYFUNCTION("""COMPUTED_VALUE"""),11011)</f>
        <v>11011</v>
      </c>
      <c r="B18" s="10" t="str">
        <f ca="1">IFERROR(__xludf.DUMMYFUNCTION("""COMPUTED_VALUE"""),"El Cid Liebrecht")</f>
        <v>El Cid Liebrecht</v>
      </c>
      <c r="C18" s="10" t="str">
        <f ca="1">IFERROR(__xludf.DUMMYFUNCTION("""COMPUTED_VALUE"""),"LASA")</f>
        <v>LASA</v>
      </c>
      <c r="D18" s="10" t="str">
        <f ca="1">IFERROR(__xludf.DUMMYFUNCTION("""COMPUTED_VALUE"""),"HS")</f>
        <v>HS</v>
      </c>
      <c r="E18" s="10">
        <f ca="1">IFERROR(__xludf.DUMMYFUNCTION("""COMPUTED_VALUE"""),271)</f>
        <v>271</v>
      </c>
      <c r="F18" s="10">
        <f ca="1">IFERROR(__xludf.DUMMYFUNCTION("""COMPUTED_VALUE"""),12)</f>
        <v>12</v>
      </c>
      <c r="G18" s="10">
        <f ca="1">IFERROR(__xludf.DUMMYFUNCTION("""COMPUTED_VALUE"""),144)</f>
        <v>144</v>
      </c>
      <c r="H18" s="10">
        <f ca="1">IFERROR(__xludf.DUMMYFUNCTION("""COMPUTED_VALUE"""),127)</f>
        <v>127</v>
      </c>
    </row>
    <row r="19" spans="1:8">
      <c r="A19" s="9">
        <f ca="1">IFERROR(__xludf.DUMMYFUNCTION("""COMPUTED_VALUE"""),11012)</f>
        <v>11012</v>
      </c>
      <c r="B19" s="10" t="str">
        <f ca="1">IFERROR(__xludf.DUMMYFUNCTION("""COMPUTED_VALUE"""),"Elio Benavidez Fisher")</f>
        <v>Elio Benavidez Fisher</v>
      </c>
      <c r="C19" s="10" t="str">
        <f ca="1">IFERROR(__xludf.DUMMYFUNCTION("""COMPUTED_VALUE"""),"LASA")</f>
        <v>LASA</v>
      </c>
      <c r="D19" s="10" t="str">
        <f ca="1">IFERROR(__xludf.DUMMYFUNCTION("""COMPUTED_VALUE"""),"HS")</f>
        <v>HS</v>
      </c>
      <c r="E19" s="10">
        <f ca="1">IFERROR(__xludf.DUMMYFUNCTION("""COMPUTED_VALUE"""),243)</f>
        <v>243</v>
      </c>
      <c r="F19" s="10">
        <f ca="1">IFERROR(__xludf.DUMMYFUNCTION("""COMPUTED_VALUE"""),5)</f>
        <v>5</v>
      </c>
      <c r="G19" s="10">
        <f ca="1">IFERROR(__xludf.DUMMYFUNCTION("""COMPUTED_VALUE"""),127)</f>
        <v>127</v>
      </c>
      <c r="H19" s="10">
        <f ca="1">IFERROR(__xludf.DUMMYFUNCTION("""COMPUTED_VALUE"""),116)</f>
        <v>116</v>
      </c>
    </row>
    <row r="20" spans="1:8">
      <c r="A20" s="9">
        <f ca="1">IFERROR(__xludf.DUMMYFUNCTION("""COMPUTED_VALUE"""),11013)</f>
        <v>11013</v>
      </c>
      <c r="B20" s="10" t="str">
        <f ca="1">IFERROR(__xludf.DUMMYFUNCTION("""COMPUTED_VALUE"""),"Elizabeth Weber")</f>
        <v>Elizabeth Weber</v>
      </c>
      <c r="C20" s="10" t="str">
        <f ca="1">IFERROR(__xludf.DUMMYFUNCTION("""COMPUTED_VALUE"""),"LASA")</f>
        <v>LASA</v>
      </c>
      <c r="D20" s="10" t="str">
        <f ca="1">IFERROR(__xludf.DUMMYFUNCTION("""COMPUTED_VALUE"""),"HS")</f>
        <v>HS</v>
      </c>
      <c r="E20" s="10">
        <f ca="1">IFERROR(__xludf.DUMMYFUNCTION("""COMPUTED_VALUE"""),269)</f>
        <v>269</v>
      </c>
      <c r="F20" s="10">
        <f ca="1">IFERROR(__xludf.DUMMYFUNCTION("""COMPUTED_VALUE"""),8)</f>
        <v>8</v>
      </c>
      <c r="G20" s="10">
        <f ca="1">IFERROR(__xludf.DUMMYFUNCTION("""COMPUTED_VALUE"""),136)</f>
        <v>136</v>
      </c>
      <c r="H20" s="10">
        <f ca="1">IFERROR(__xludf.DUMMYFUNCTION("""COMPUTED_VALUE"""),133)</f>
        <v>133</v>
      </c>
    </row>
    <row r="21" spans="1:8">
      <c r="A21" s="9">
        <f ca="1">IFERROR(__xludf.DUMMYFUNCTION("""COMPUTED_VALUE"""),11014)</f>
        <v>11014</v>
      </c>
      <c r="B21" s="10" t="str">
        <f ca="1">IFERROR(__xludf.DUMMYFUNCTION("""COMPUTED_VALUE"""),"Ellis Reddam")</f>
        <v>Ellis Reddam</v>
      </c>
      <c r="C21" s="10" t="str">
        <f ca="1">IFERROR(__xludf.DUMMYFUNCTION("""COMPUTED_VALUE"""),"LASA")</f>
        <v>LASA</v>
      </c>
      <c r="D21" s="10" t="str">
        <f ca="1">IFERROR(__xludf.DUMMYFUNCTION("""COMPUTED_VALUE"""),"HS")</f>
        <v>HS</v>
      </c>
      <c r="E21" s="10">
        <f ca="1">IFERROR(__xludf.DUMMYFUNCTION("""COMPUTED_VALUE"""),256)</f>
        <v>256</v>
      </c>
      <c r="F21" s="10">
        <f ca="1">IFERROR(__xludf.DUMMYFUNCTION("""COMPUTED_VALUE"""),9)</f>
        <v>9</v>
      </c>
      <c r="G21" s="10">
        <f ca="1">IFERROR(__xludf.DUMMYFUNCTION("""COMPUTED_VALUE"""),134)</f>
        <v>134</v>
      </c>
      <c r="H21" s="10">
        <f ca="1">IFERROR(__xludf.DUMMYFUNCTION("""COMPUTED_VALUE"""),122)</f>
        <v>122</v>
      </c>
    </row>
    <row r="22" spans="1:8">
      <c r="A22" s="9">
        <f ca="1">IFERROR(__xludf.DUMMYFUNCTION("""COMPUTED_VALUE"""),11015)</f>
        <v>11015</v>
      </c>
      <c r="B22" s="10" t="str">
        <f ca="1">IFERROR(__xludf.DUMMYFUNCTION("""COMPUTED_VALUE"""),"Evan Meyer")</f>
        <v>Evan Meyer</v>
      </c>
      <c r="C22" s="10" t="str">
        <f ca="1">IFERROR(__xludf.DUMMYFUNCTION("""COMPUTED_VALUE"""),"LASA")</f>
        <v>LASA</v>
      </c>
      <c r="D22" s="10" t="str">
        <f ca="1">IFERROR(__xludf.DUMMYFUNCTION("""COMPUTED_VALUE"""),"HS")</f>
        <v>HS</v>
      </c>
      <c r="E22" s="10">
        <f ca="1">IFERROR(__xludf.DUMMYFUNCTION("""COMPUTED_VALUE"""),285)</f>
        <v>285</v>
      </c>
      <c r="F22" s="10">
        <f ca="1">IFERROR(__xludf.DUMMYFUNCTION("""COMPUTED_VALUE"""),18)</f>
        <v>18</v>
      </c>
      <c r="G22" s="10">
        <f ca="1">IFERROR(__xludf.DUMMYFUNCTION("""COMPUTED_VALUE"""),144)</f>
        <v>144</v>
      </c>
      <c r="H22" s="10">
        <f ca="1">IFERROR(__xludf.DUMMYFUNCTION("""COMPUTED_VALUE"""),141)</f>
        <v>141</v>
      </c>
    </row>
    <row r="23" spans="1:8">
      <c r="A23" s="9">
        <f ca="1">IFERROR(__xludf.DUMMYFUNCTION("""COMPUTED_VALUE"""),11016)</f>
        <v>11016</v>
      </c>
      <c r="B23" s="10" t="str">
        <f ca="1">IFERROR(__xludf.DUMMYFUNCTION("""COMPUTED_VALUE"""),"Eve Boulette")</f>
        <v>Eve Boulette</v>
      </c>
      <c r="C23" s="10" t="str">
        <f ca="1">IFERROR(__xludf.DUMMYFUNCTION("""COMPUTED_VALUE"""),"LASA")</f>
        <v>LASA</v>
      </c>
      <c r="D23" s="10" t="str">
        <f ca="1">IFERROR(__xludf.DUMMYFUNCTION("""COMPUTED_VALUE"""),"HS")</f>
        <v>HS</v>
      </c>
      <c r="E23" s="10">
        <f ca="1">IFERROR(__xludf.DUMMYFUNCTION("""COMPUTED_VALUE"""),257)</f>
        <v>257</v>
      </c>
      <c r="F23" s="10">
        <f ca="1">IFERROR(__xludf.DUMMYFUNCTION("""COMPUTED_VALUE"""),7)</f>
        <v>7</v>
      </c>
      <c r="G23" s="10">
        <f ca="1">IFERROR(__xludf.DUMMYFUNCTION("""COMPUTED_VALUE"""),131)</f>
        <v>131</v>
      </c>
      <c r="H23" s="10">
        <f ca="1">IFERROR(__xludf.DUMMYFUNCTION("""COMPUTED_VALUE"""),126)</f>
        <v>126</v>
      </c>
    </row>
    <row r="24" spans="1:8">
      <c r="A24" s="9">
        <f ca="1">IFERROR(__xludf.DUMMYFUNCTION("""COMPUTED_VALUE"""),11017)</f>
        <v>11017</v>
      </c>
      <c r="B24" s="10" t="str">
        <f ca="1">IFERROR(__xludf.DUMMYFUNCTION("""COMPUTED_VALUE"""),"Hamsika Ellore")</f>
        <v>Hamsika Ellore</v>
      </c>
      <c r="C24" s="10" t="str">
        <f ca="1">IFERROR(__xludf.DUMMYFUNCTION("""COMPUTED_VALUE"""),"LASA")</f>
        <v>LASA</v>
      </c>
      <c r="D24" s="10" t="str">
        <f ca="1">IFERROR(__xludf.DUMMYFUNCTION("""COMPUTED_VALUE"""),"HS")</f>
        <v>HS</v>
      </c>
      <c r="E24" s="10">
        <f ca="1">IFERROR(__xludf.DUMMYFUNCTION("""COMPUTED_VALUE"""),254)</f>
        <v>254</v>
      </c>
      <c r="F24" s="10">
        <f ca="1">IFERROR(__xludf.DUMMYFUNCTION("""COMPUTED_VALUE"""),6)</f>
        <v>6</v>
      </c>
      <c r="G24" s="10">
        <f ca="1">IFERROR(__xludf.DUMMYFUNCTION("""COMPUTED_VALUE"""),136)</f>
        <v>136</v>
      </c>
      <c r="H24" s="10">
        <f ca="1">IFERROR(__xludf.DUMMYFUNCTION("""COMPUTED_VALUE"""),118)</f>
        <v>118</v>
      </c>
    </row>
    <row r="25" spans="1:8">
      <c r="A25" s="9">
        <f ca="1">IFERROR(__xludf.DUMMYFUNCTION("""COMPUTED_VALUE"""),11018)</f>
        <v>11018</v>
      </c>
      <c r="B25" s="10" t="str">
        <f ca="1">IFERROR(__xludf.DUMMYFUNCTION("""COMPUTED_VALUE"""),"Harini Senthil Arasu")</f>
        <v>Harini Senthil Arasu</v>
      </c>
      <c r="C25" s="10" t="str">
        <f ca="1">IFERROR(__xludf.DUMMYFUNCTION("""COMPUTED_VALUE"""),"LASA")</f>
        <v>LASA</v>
      </c>
      <c r="D25" s="10" t="str">
        <f ca="1">IFERROR(__xludf.DUMMYFUNCTION("""COMPUTED_VALUE"""),"HS")</f>
        <v>HS</v>
      </c>
      <c r="E25" s="10">
        <f ca="1">IFERROR(__xludf.DUMMYFUNCTION("""COMPUTED_VALUE"""),248)</f>
        <v>248</v>
      </c>
      <c r="F25" s="10">
        <f ca="1">IFERROR(__xludf.DUMMYFUNCTION("""COMPUTED_VALUE"""),8)</f>
        <v>8</v>
      </c>
      <c r="G25" s="10">
        <f ca="1">IFERROR(__xludf.DUMMYFUNCTION("""COMPUTED_VALUE"""),135)</f>
        <v>135</v>
      </c>
      <c r="H25" s="10">
        <f ca="1">IFERROR(__xludf.DUMMYFUNCTION("""COMPUTED_VALUE"""),113)</f>
        <v>113</v>
      </c>
    </row>
    <row r="26" spans="1:8">
      <c r="A26" s="9">
        <f ca="1">IFERROR(__xludf.DUMMYFUNCTION("""COMPUTED_VALUE"""),11019)</f>
        <v>11019</v>
      </c>
      <c r="B26" s="10" t="str">
        <f ca="1">IFERROR(__xludf.DUMMYFUNCTION("""COMPUTED_VALUE"""),"Ian Block")</f>
        <v>Ian Block</v>
      </c>
      <c r="C26" s="10" t="str">
        <f ca="1">IFERROR(__xludf.DUMMYFUNCTION("""COMPUTED_VALUE"""),"LASA")</f>
        <v>LASA</v>
      </c>
      <c r="D26" s="10" t="str">
        <f ca="1">IFERROR(__xludf.DUMMYFUNCTION("""COMPUTED_VALUE"""),"HS")</f>
        <v>HS</v>
      </c>
      <c r="E26" s="10">
        <f ca="1">IFERROR(__xludf.DUMMYFUNCTION("""COMPUTED_VALUE"""),278)</f>
        <v>278</v>
      </c>
      <c r="F26" s="10">
        <f ca="1">IFERROR(__xludf.DUMMYFUNCTION("""COMPUTED_VALUE"""),12)</f>
        <v>12</v>
      </c>
      <c r="G26" s="10">
        <f ca="1">IFERROR(__xludf.DUMMYFUNCTION("""COMPUTED_VALUE"""),141)</f>
        <v>141</v>
      </c>
      <c r="H26" s="10">
        <f ca="1">IFERROR(__xludf.DUMMYFUNCTION("""COMPUTED_VALUE"""),137)</f>
        <v>137</v>
      </c>
    </row>
    <row r="27" spans="1:8">
      <c r="A27" s="9">
        <f ca="1">IFERROR(__xludf.DUMMYFUNCTION("""COMPUTED_VALUE"""),11020)</f>
        <v>11020</v>
      </c>
      <c r="B27" s="10" t="str">
        <f ca="1">IFERROR(__xludf.DUMMYFUNCTION("""COMPUTED_VALUE"""),"Ingram Johnson")</f>
        <v>Ingram Johnson</v>
      </c>
      <c r="C27" s="10" t="str">
        <f ca="1">IFERROR(__xludf.DUMMYFUNCTION("""COMPUTED_VALUE"""),"LASA")</f>
        <v>LASA</v>
      </c>
      <c r="D27" s="10" t="str">
        <f ca="1">IFERROR(__xludf.DUMMYFUNCTION("""COMPUTED_VALUE"""),"HS")</f>
        <v>HS</v>
      </c>
      <c r="E27" s="10">
        <f ca="1">IFERROR(__xludf.DUMMYFUNCTION("""COMPUTED_VALUE"""),262)</f>
        <v>262</v>
      </c>
      <c r="F27" s="10">
        <f ca="1">IFERROR(__xludf.DUMMYFUNCTION("""COMPUTED_VALUE"""),7)</f>
        <v>7</v>
      </c>
      <c r="G27" s="10">
        <f ca="1">IFERROR(__xludf.DUMMYFUNCTION("""COMPUTED_VALUE"""),133)</f>
        <v>133</v>
      </c>
      <c r="H27" s="10">
        <f ca="1">IFERROR(__xludf.DUMMYFUNCTION("""COMPUTED_VALUE"""),129)</f>
        <v>129</v>
      </c>
    </row>
    <row r="28" spans="1:8">
      <c r="A28" s="9">
        <f ca="1">IFERROR(__xludf.DUMMYFUNCTION("""COMPUTED_VALUE"""),11021)</f>
        <v>11021</v>
      </c>
      <c r="B28" s="10" t="str">
        <f ca="1">IFERROR(__xludf.DUMMYFUNCTION("""COMPUTED_VALUE"""),"Javier Gonzalez")</f>
        <v>Javier Gonzalez</v>
      </c>
      <c r="C28" s="10" t="str">
        <f ca="1">IFERROR(__xludf.DUMMYFUNCTION("""COMPUTED_VALUE"""),"LASA")</f>
        <v>LASA</v>
      </c>
      <c r="D28" s="10" t="str">
        <f ca="1">IFERROR(__xludf.DUMMYFUNCTION("""COMPUTED_VALUE"""),"HS")</f>
        <v>HS</v>
      </c>
      <c r="E28" s="10">
        <f ca="1">IFERROR(__xludf.DUMMYFUNCTION("""COMPUTED_VALUE"""),258)</f>
        <v>258</v>
      </c>
      <c r="F28" s="10">
        <f ca="1">IFERROR(__xludf.DUMMYFUNCTION("""COMPUTED_VALUE"""),7)</f>
        <v>7</v>
      </c>
      <c r="G28" s="10">
        <f ca="1">IFERROR(__xludf.DUMMYFUNCTION("""COMPUTED_VALUE"""),135)</f>
        <v>135</v>
      </c>
      <c r="H28" s="10">
        <f ca="1">IFERROR(__xludf.DUMMYFUNCTION("""COMPUTED_VALUE"""),123)</f>
        <v>123</v>
      </c>
    </row>
    <row r="29" spans="1:8">
      <c r="A29" s="9">
        <f ca="1">IFERROR(__xludf.DUMMYFUNCTION("""COMPUTED_VALUE"""),11022)</f>
        <v>11022</v>
      </c>
      <c r="B29" s="10" t="str">
        <f ca="1">IFERROR(__xludf.DUMMYFUNCTION("""COMPUTED_VALUE"""),"Josephine Law")</f>
        <v>Josephine Law</v>
      </c>
      <c r="C29" s="10" t="str">
        <f ca="1">IFERROR(__xludf.DUMMYFUNCTION("""COMPUTED_VALUE"""),"LASA")</f>
        <v>LASA</v>
      </c>
      <c r="D29" s="10" t="str">
        <f ca="1">IFERROR(__xludf.DUMMYFUNCTION("""COMPUTED_VALUE"""),"HS")</f>
        <v>HS</v>
      </c>
      <c r="E29" s="10">
        <f ca="1">IFERROR(__xludf.DUMMYFUNCTION("""COMPUTED_VALUE"""),258)</f>
        <v>258</v>
      </c>
      <c r="F29" s="10">
        <f ca="1">IFERROR(__xludf.DUMMYFUNCTION("""COMPUTED_VALUE"""),8)</f>
        <v>8</v>
      </c>
      <c r="G29" s="10">
        <f ca="1">IFERROR(__xludf.DUMMYFUNCTION("""COMPUTED_VALUE"""),132)</f>
        <v>132</v>
      </c>
      <c r="H29" s="10">
        <f ca="1">IFERROR(__xludf.DUMMYFUNCTION("""COMPUTED_VALUE"""),126)</f>
        <v>126</v>
      </c>
    </row>
    <row r="30" spans="1:8">
      <c r="A30" s="9">
        <f ca="1">IFERROR(__xludf.DUMMYFUNCTION("""COMPUTED_VALUE"""),11023)</f>
        <v>11023</v>
      </c>
      <c r="B30" s="10" t="str">
        <f ca="1">IFERROR(__xludf.DUMMYFUNCTION("""COMPUTED_VALUE"""),"Jules Starcher")</f>
        <v>Jules Starcher</v>
      </c>
      <c r="C30" s="10" t="str">
        <f ca="1">IFERROR(__xludf.DUMMYFUNCTION("""COMPUTED_VALUE"""),"LASA")</f>
        <v>LASA</v>
      </c>
      <c r="D30" s="10" t="str">
        <f ca="1">IFERROR(__xludf.DUMMYFUNCTION("""COMPUTED_VALUE"""),"HS")</f>
        <v>HS</v>
      </c>
      <c r="E30" s="10">
        <f ca="1">IFERROR(__xludf.DUMMYFUNCTION("""COMPUTED_VALUE"""),215)</f>
        <v>215</v>
      </c>
      <c r="F30" s="10">
        <f ca="1">IFERROR(__xludf.DUMMYFUNCTION("""COMPUTED_VALUE"""),2)</f>
        <v>2</v>
      </c>
      <c r="G30" s="10">
        <f ca="1">IFERROR(__xludf.DUMMYFUNCTION("""COMPUTED_VALUE"""),119)</f>
        <v>119</v>
      </c>
      <c r="H30" s="10">
        <f ca="1">IFERROR(__xludf.DUMMYFUNCTION("""COMPUTED_VALUE"""),96)</f>
        <v>96</v>
      </c>
    </row>
    <row r="31" spans="1:8">
      <c r="A31" s="9">
        <f ca="1">IFERROR(__xludf.DUMMYFUNCTION("""COMPUTED_VALUE"""),11024)</f>
        <v>11024</v>
      </c>
      <c r="B31" s="10" t="str">
        <f ca="1">IFERROR(__xludf.DUMMYFUNCTION("""COMPUTED_VALUE"""),"Kirthna Nanduru")</f>
        <v>Kirthna Nanduru</v>
      </c>
      <c r="C31" s="10" t="str">
        <f ca="1">IFERROR(__xludf.DUMMYFUNCTION("""COMPUTED_VALUE"""),"LASA")</f>
        <v>LASA</v>
      </c>
      <c r="D31" s="10" t="str">
        <f ca="1">IFERROR(__xludf.DUMMYFUNCTION("""COMPUTED_VALUE"""),"HS")</f>
        <v>HS</v>
      </c>
      <c r="E31" s="10">
        <f ca="1">IFERROR(__xludf.DUMMYFUNCTION("""COMPUTED_VALUE"""),262)</f>
        <v>262</v>
      </c>
      <c r="F31" s="10">
        <f ca="1">IFERROR(__xludf.DUMMYFUNCTION("""COMPUTED_VALUE"""),8)</f>
        <v>8</v>
      </c>
      <c r="G31" s="10">
        <f ca="1">IFERROR(__xludf.DUMMYFUNCTION("""COMPUTED_VALUE"""),137)</f>
        <v>137</v>
      </c>
      <c r="H31" s="10">
        <f ca="1">IFERROR(__xludf.DUMMYFUNCTION("""COMPUTED_VALUE"""),125)</f>
        <v>125</v>
      </c>
    </row>
    <row r="32" spans="1:8">
      <c r="A32" s="9">
        <f ca="1">IFERROR(__xludf.DUMMYFUNCTION("""COMPUTED_VALUE"""),11025)</f>
        <v>11025</v>
      </c>
      <c r="B32" s="10" t="str">
        <f ca="1">IFERROR(__xludf.DUMMYFUNCTION("""COMPUTED_VALUE"""),"Kundana Addala")</f>
        <v>Kundana Addala</v>
      </c>
      <c r="C32" s="10" t="str">
        <f ca="1">IFERROR(__xludf.DUMMYFUNCTION("""COMPUTED_VALUE"""),"LASA")</f>
        <v>LASA</v>
      </c>
      <c r="D32" s="10" t="str">
        <f ca="1">IFERROR(__xludf.DUMMYFUNCTION("""COMPUTED_VALUE"""),"HS")</f>
        <v>HS</v>
      </c>
      <c r="E32" s="10">
        <f ca="1">IFERROR(__xludf.DUMMYFUNCTION("""COMPUTED_VALUE"""),250)</f>
        <v>250</v>
      </c>
      <c r="F32" s="10">
        <f ca="1">IFERROR(__xludf.DUMMYFUNCTION("""COMPUTED_VALUE"""),5)</f>
        <v>5</v>
      </c>
      <c r="G32" s="10">
        <f ca="1">IFERROR(__xludf.DUMMYFUNCTION("""COMPUTED_VALUE"""),129)</f>
        <v>129</v>
      </c>
      <c r="H32" s="10">
        <f ca="1">IFERROR(__xludf.DUMMYFUNCTION("""COMPUTED_VALUE"""),121)</f>
        <v>121</v>
      </c>
    </row>
    <row r="33" spans="1:8">
      <c r="A33" s="9">
        <f ca="1">IFERROR(__xludf.DUMMYFUNCTION("""COMPUTED_VALUE"""),11026)</f>
        <v>11026</v>
      </c>
      <c r="B33" s="10" t="str">
        <f ca="1">IFERROR(__xludf.DUMMYFUNCTION("""COMPUTED_VALUE"""),"Kyle Durkop")</f>
        <v>Kyle Durkop</v>
      </c>
      <c r="C33" s="10" t="str">
        <f ca="1">IFERROR(__xludf.DUMMYFUNCTION("""COMPUTED_VALUE"""),"LASA")</f>
        <v>LASA</v>
      </c>
      <c r="D33" s="10" t="str">
        <f ca="1">IFERROR(__xludf.DUMMYFUNCTION("""COMPUTED_VALUE"""),"HS")</f>
        <v>HS</v>
      </c>
      <c r="E33" s="10">
        <f ca="1">IFERROR(__xludf.DUMMYFUNCTION("""COMPUTED_VALUE"""),243)</f>
        <v>243</v>
      </c>
      <c r="F33" s="10">
        <f ca="1">IFERROR(__xludf.DUMMYFUNCTION("""COMPUTED_VALUE"""),5)</f>
        <v>5</v>
      </c>
      <c r="G33" s="10">
        <f ca="1">IFERROR(__xludf.DUMMYFUNCTION("""COMPUTED_VALUE"""),135)</f>
        <v>135</v>
      </c>
      <c r="H33" s="10">
        <f ca="1">IFERROR(__xludf.DUMMYFUNCTION("""COMPUTED_VALUE"""),108)</f>
        <v>108</v>
      </c>
    </row>
    <row r="34" spans="1:8">
      <c r="A34" s="9">
        <f ca="1">IFERROR(__xludf.DUMMYFUNCTION("""COMPUTED_VALUE"""),11027)</f>
        <v>11027</v>
      </c>
      <c r="B34" s="10" t="str">
        <f ca="1">IFERROR(__xludf.DUMMYFUNCTION("""COMPUTED_VALUE"""),"Lauren Kim")</f>
        <v>Lauren Kim</v>
      </c>
      <c r="C34" s="10" t="str">
        <f ca="1">IFERROR(__xludf.DUMMYFUNCTION("""COMPUTED_VALUE"""),"LASA")</f>
        <v>LASA</v>
      </c>
      <c r="D34" s="10" t="str">
        <f ca="1">IFERROR(__xludf.DUMMYFUNCTION("""COMPUTED_VALUE"""),"HS")</f>
        <v>HS</v>
      </c>
      <c r="E34" s="10">
        <f ca="1">IFERROR(__xludf.DUMMYFUNCTION("""COMPUTED_VALUE"""),181)</f>
        <v>181</v>
      </c>
      <c r="F34" s="10">
        <f ca="1">IFERROR(__xludf.DUMMYFUNCTION("""COMPUTED_VALUE"""),1)</f>
        <v>1</v>
      </c>
      <c r="G34" s="10">
        <f ca="1">IFERROR(__xludf.DUMMYFUNCTION("""COMPUTED_VALUE"""),97)</f>
        <v>97</v>
      </c>
      <c r="H34" s="10">
        <f ca="1">IFERROR(__xludf.DUMMYFUNCTION("""COMPUTED_VALUE"""),84)</f>
        <v>84</v>
      </c>
    </row>
    <row r="35" spans="1:8">
      <c r="A35" s="9">
        <f ca="1">IFERROR(__xludf.DUMMYFUNCTION("""COMPUTED_VALUE"""),11028)</f>
        <v>11028</v>
      </c>
      <c r="B35" s="10" t="str">
        <f ca="1">IFERROR(__xludf.DUMMYFUNCTION("""COMPUTED_VALUE"""),"Liam Peters")</f>
        <v>Liam Peters</v>
      </c>
      <c r="C35" s="10" t="str">
        <f ca="1">IFERROR(__xludf.DUMMYFUNCTION("""COMPUTED_VALUE"""),"LASA")</f>
        <v>LASA</v>
      </c>
      <c r="D35" s="10" t="str">
        <f ca="1">IFERROR(__xludf.DUMMYFUNCTION("""COMPUTED_VALUE"""),"HS")</f>
        <v>HS</v>
      </c>
      <c r="E35" s="10">
        <f ca="1">IFERROR(__xludf.DUMMYFUNCTION("""COMPUTED_VALUE"""),253)</f>
        <v>253</v>
      </c>
      <c r="F35" s="10">
        <f ca="1">IFERROR(__xludf.DUMMYFUNCTION("""COMPUTED_VALUE"""),3)</f>
        <v>3</v>
      </c>
      <c r="G35" s="10">
        <f ca="1">IFERROR(__xludf.DUMMYFUNCTION("""COMPUTED_VALUE"""),130)</f>
        <v>130</v>
      </c>
      <c r="H35" s="10">
        <f ca="1">IFERROR(__xludf.DUMMYFUNCTION("""COMPUTED_VALUE"""),123)</f>
        <v>123</v>
      </c>
    </row>
    <row r="36" spans="1:8">
      <c r="A36" s="9">
        <f ca="1">IFERROR(__xludf.DUMMYFUNCTION("""COMPUTED_VALUE"""),11029)</f>
        <v>11029</v>
      </c>
      <c r="B36" s="10" t="str">
        <f ca="1">IFERROR(__xludf.DUMMYFUNCTION("""COMPUTED_VALUE"""),"Max Oliver")</f>
        <v>Max Oliver</v>
      </c>
      <c r="C36" s="10" t="str">
        <f ca="1">IFERROR(__xludf.DUMMYFUNCTION("""COMPUTED_VALUE"""),"LASA")</f>
        <v>LASA</v>
      </c>
      <c r="D36" s="10" t="str">
        <f ca="1">IFERROR(__xludf.DUMMYFUNCTION("""COMPUTED_VALUE"""),"HS")</f>
        <v>HS</v>
      </c>
      <c r="E36" s="10">
        <f ca="1">IFERROR(__xludf.DUMMYFUNCTION("""COMPUTED_VALUE"""),192)</f>
        <v>192</v>
      </c>
      <c r="F36" s="10">
        <f ca="1">IFERROR(__xludf.DUMMYFUNCTION("""COMPUTED_VALUE"""),0)</f>
        <v>0</v>
      </c>
      <c r="G36" s="10">
        <f ca="1">IFERROR(__xludf.DUMMYFUNCTION("""COMPUTED_VALUE"""),98)</f>
        <v>98</v>
      </c>
      <c r="H36" s="10">
        <f ca="1">IFERROR(__xludf.DUMMYFUNCTION("""COMPUTED_VALUE"""),94)</f>
        <v>94</v>
      </c>
    </row>
    <row r="37" spans="1:8">
      <c r="A37" s="9">
        <f ca="1">IFERROR(__xludf.DUMMYFUNCTION("""COMPUTED_VALUE"""),11030)</f>
        <v>11030</v>
      </c>
      <c r="B37" s="10" t="str">
        <f ca="1">IFERROR(__xludf.DUMMYFUNCTION("""COMPUTED_VALUE"""),"Miles Trentham")</f>
        <v>Miles Trentham</v>
      </c>
      <c r="C37" s="10" t="str">
        <f ca="1">IFERROR(__xludf.DUMMYFUNCTION("""COMPUTED_VALUE"""),"LASA")</f>
        <v>LASA</v>
      </c>
      <c r="D37" s="10" t="str">
        <f ca="1">IFERROR(__xludf.DUMMYFUNCTION("""COMPUTED_VALUE"""),"HS")</f>
        <v>HS</v>
      </c>
      <c r="E37" s="10">
        <f ca="1">IFERROR(__xludf.DUMMYFUNCTION("""COMPUTED_VALUE"""),217)</f>
        <v>217</v>
      </c>
      <c r="F37" s="10">
        <f ca="1">IFERROR(__xludf.DUMMYFUNCTION("""COMPUTED_VALUE"""),4)</f>
        <v>4</v>
      </c>
      <c r="G37" s="10">
        <f ca="1">IFERROR(__xludf.DUMMYFUNCTION("""COMPUTED_VALUE"""),101)</f>
        <v>101</v>
      </c>
      <c r="H37" s="10">
        <f ca="1">IFERROR(__xludf.DUMMYFUNCTION("""COMPUTED_VALUE"""),116)</f>
        <v>116</v>
      </c>
    </row>
    <row r="38" spans="1:8">
      <c r="A38" s="9">
        <f ca="1">IFERROR(__xludf.DUMMYFUNCTION("""COMPUTED_VALUE"""),11031)</f>
        <v>11031</v>
      </c>
      <c r="B38" s="10" t="str">
        <f ca="1">IFERROR(__xludf.DUMMYFUNCTION("""COMPUTED_VALUE"""),"Oliver Nelson")</f>
        <v>Oliver Nelson</v>
      </c>
      <c r="C38" s="10" t="str">
        <f ca="1">IFERROR(__xludf.DUMMYFUNCTION("""COMPUTED_VALUE"""),"LASA")</f>
        <v>LASA</v>
      </c>
      <c r="D38" s="10" t="str">
        <f ca="1">IFERROR(__xludf.DUMMYFUNCTION("""COMPUTED_VALUE"""),"HS")</f>
        <v>HS</v>
      </c>
      <c r="E38" s="10">
        <f ca="1">IFERROR(__xludf.DUMMYFUNCTION("""COMPUTED_VALUE"""),275)</f>
        <v>275</v>
      </c>
      <c r="F38" s="10">
        <f ca="1">IFERROR(__xludf.DUMMYFUNCTION("""COMPUTED_VALUE"""),10)</f>
        <v>10</v>
      </c>
      <c r="G38" s="10">
        <f ca="1">IFERROR(__xludf.DUMMYFUNCTION("""COMPUTED_VALUE"""),137)</f>
        <v>137</v>
      </c>
      <c r="H38" s="10">
        <f ca="1">IFERROR(__xludf.DUMMYFUNCTION("""COMPUTED_VALUE"""),138)</f>
        <v>138</v>
      </c>
    </row>
    <row r="39" spans="1:8">
      <c r="A39" s="9">
        <f ca="1">IFERROR(__xludf.DUMMYFUNCTION("""COMPUTED_VALUE"""),11032)</f>
        <v>11032</v>
      </c>
      <c r="B39" s="10" t="str">
        <f ca="1">IFERROR(__xludf.DUMMYFUNCTION("""COMPUTED_VALUE"""),"Peyton Lauv")</f>
        <v>Peyton Lauv</v>
      </c>
      <c r="C39" s="10" t="str">
        <f ca="1">IFERROR(__xludf.DUMMYFUNCTION("""COMPUTED_VALUE"""),"LASA")</f>
        <v>LASA</v>
      </c>
      <c r="D39" s="10" t="str">
        <f ca="1">IFERROR(__xludf.DUMMYFUNCTION("""COMPUTED_VALUE"""),"HS")</f>
        <v>HS</v>
      </c>
      <c r="E39" s="10">
        <f ca="1">IFERROR(__xludf.DUMMYFUNCTION("""COMPUTED_VALUE"""),253)</f>
        <v>253</v>
      </c>
      <c r="F39" s="10">
        <f ca="1">IFERROR(__xludf.DUMMYFUNCTION("""COMPUTED_VALUE"""),5)</f>
        <v>5</v>
      </c>
      <c r="G39" s="10">
        <f ca="1">IFERROR(__xludf.DUMMYFUNCTION("""COMPUTED_VALUE"""),130)</f>
        <v>130</v>
      </c>
      <c r="H39" s="10">
        <f ca="1">IFERROR(__xludf.DUMMYFUNCTION("""COMPUTED_VALUE"""),123)</f>
        <v>123</v>
      </c>
    </row>
    <row r="40" spans="1:8">
      <c r="A40" s="9">
        <f ca="1">IFERROR(__xludf.DUMMYFUNCTION("""COMPUTED_VALUE"""),11033)</f>
        <v>11033</v>
      </c>
      <c r="B40" s="10" t="str">
        <f ca="1">IFERROR(__xludf.DUMMYFUNCTION("""COMPUTED_VALUE"""),"Ruby Cornwell")</f>
        <v>Ruby Cornwell</v>
      </c>
      <c r="C40" s="10" t="str">
        <f ca="1">IFERROR(__xludf.DUMMYFUNCTION("""COMPUTED_VALUE"""),"LASA")</f>
        <v>LASA</v>
      </c>
      <c r="D40" s="10" t="str">
        <f ca="1">IFERROR(__xludf.DUMMYFUNCTION("""COMPUTED_VALUE"""),"HS")</f>
        <v>HS</v>
      </c>
      <c r="E40" s="10">
        <f ca="1">IFERROR(__xludf.DUMMYFUNCTION("""COMPUTED_VALUE"""),238)</f>
        <v>238</v>
      </c>
      <c r="F40" s="10">
        <f ca="1">IFERROR(__xludf.DUMMYFUNCTION("""COMPUTED_VALUE"""),2)</f>
        <v>2</v>
      </c>
      <c r="G40" s="10">
        <f ca="1">IFERROR(__xludf.DUMMYFUNCTION("""COMPUTED_VALUE"""),126)</f>
        <v>126</v>
      </c>
      <c r="H40" s="10">
        <f ca="1">IFERROR(__xludf.DUMMYFUNCTION("""COMPUTED_VALUE"""),112)</f>
        <v>112</v>
      </c>
    </row>
    <row r="41" spans="1:8">
      <c r="A41" s="9">
        <f ca="1">IFERROR(__xludf.DUMMYFUNCTION("""COMPUTED_VALUE"""),11034)</f>
        <v>11034</v>
      </c>
      <c r="B41" s="10" t="str">
        <f ca="1">IFERROR(__xludf.DUMMYFUNCTION("""COMPUTED_VALUE"""),"Salvador Lofat")</f>
        <v>Salvador Lofat</v>
      </c>
      <c r="C41" s="10" t="str">
        <f ca="1">IFERROR(__xludf.DUMMYFUNCTION("""COMPUTED_VALUE"""),"LASA")</f>
        <v>LASA</v>
      </c>
      <c r="D41" s="10" t="str">
        <f ca="1">IFERROR(__xludf.DUMMYFUNCTION("""COMPUTED_VALUE"""),"HS")</f>
        <v>HS</v>
      </c>
      <c r="E41" s="10">
        <f ca="1">IFERROR(__xludf.DUMMYFUNCTION("""COMPUTED_VALUE"""),240)</f>
        <v>240</v>
      </c>
      <c r="F41" s="10">
        <f ca="1">IFERROR(__xludf.DUMMYFUNCTION("""COMPUTED_VALUE"""),6)</f>
        <v>6</v>
      </c>
      <c r="G41" s="10">
        <f ca="1">IFERROR(__xludf.DUMMYFUNCTION("""COMPUTED_VALUE"""),124)</f>
        <v>124</v>
      </c>
      <c r="H41" s="10">
        <f ca="1">IFERROR(__xludf.DUMMYFUNCTION("""COMPUTED_VALUE"""),116)</f>
        <v>116</v>
      </c>
    </row>
    <row r="42" spans="1:8">
      <c r="A42" s="9">
        <f ca="1">IFERROR(__xludf.DUMMYFUNCTION("""COMPUTED_VALUE"""),11035)</f>
        <v>11035</v>
      </c>
      <c r="B42" s="10" t="str">
        <f ca="1">IFERROR(__xludf.DUMMYFUNCTION("""COMPUTED_VALUE"""),"Sidarth Senthil")</f>
        <v>Sidarth Senthil</v>
      </c>
      <c r="C42" s="10" t="str">
        <f ca="1">IFERROR(__xludf.DUMMYFUNCTION("""COMPUTED_VALUE"""),"LASA")</f>
        <v>LASA</v>
      </c>
      <c r="D42" s="10" t="str">
        <f ca="1">IFERROR(__xludf.DUMMYFUNCTION("""COMPUTED_VALUE"""),"HS")</f>
        <v>HS</v>
      </c>
      <c r="E42" s="10">
        <f ca="1">IFERROR(__xludf.DUMMYFUNCTION("""COMPUTED_VALUE"""),282)</f>
        <v>282</v>
      </c>
      <c r="F42" s="10">
        <f ca="1">IFERROR(__xludf.DUMMYFUNCTION("""COMPUTED_VALUE"""),14)</f>
        <v>14</v>
      </c>
      <c r="G42" s="10">
        <f ca="1">IFERROR(__xludf.DUMMYFUNCTION("""COMPUTED_VALUE"""),145)</f>
        <v>145</v>
      </c>
      <c r="H42" s="10">
        <f ca="1">IFERROR(__xludf.DUMMYFUNCTION("""COMPUTED_VALUE"""),137)</f>
        <v>137</v>
      </c>
    </row>
    <row r="43" spans="1:8">
      <c r="A43" s="9">
        <f ca="1">IFERROR(__xludf.DUMMYFUNCTION("""COMPUTED_VALUE"""),11037)</f>
        <v>11037</v>
      </c>
      <c r="B43" s="10" t="str">
        <f ca="1">IFERROR(__xludf.DUMMYFUNCTION("""COMPUTED_VALUE"""),"Sloane Gormin")</f>
        <v>Sloane Gormin</v>
      </c>
      <c r="C43" s="10" t="str">
        <f ca="1">IFERROR(__xludf.DUMMYFUNCTION("""COMPUTED_VALUE"""),"LASA")</f>
        <v>LASA</v>
      </c>
      <c r="D43" s="10" t="str">
        <f ca="1">IFERROR(__xludf.DUMMYFUNCTION("""COMPUTED_VALUE"""),"HS")</f>
        <v>HS</v>
      </c>
      <c r="E43" s="10" t="str">
        <f ca="1">IFERROR(__xludf.DUMMYFUNCTION("""COMPUTED_VALUE"""),"Posting")</f>
        <v>Posting</v>
      </c>
      <c r="F43" s="10" t="str">
        <f ca="1">IFERROR(__xludf.DUMMYFUNCTION("""COMPUTED_VALUE"""),"Posting")</f>
        <v>Posting</v>
      </c>
      <c r="G43" s="10" t="str">
        <f ca="1">IFERROR(__xludf.DUMMYFUNCTION("""COMPUTED_VALUE"""),"Posting")</f>
        <v>Posting</v>
      </c>
      <c r="H43" s="10" t="str">
        <f ca="1">IFERROR(__xludf.DUMMYFUNCTION("""COMPUTED_VALUE"""),"Posting")</f>
        <v>Posting</v>
      </c>
    </row>
    <row r="44" spans="1:8">
      <c r="A44" s="9">
        <f ca="1">IFERROR(__xludf.DUMMYFUNCTION("""COMPUTED_VALUE"""),11038)</f>
        <v>11038</v>
      </c>
      <c r="B44" s="10" t="str">
        <f ca="1">IFERROR(__xludf.DUMMYFUNCTION("""COMPUTED_VALUE"""),"Traver Laudadio")</f>
        <v>Traver Laudadio</v>
      </c>
      <c r="C44" s="10" t="str">
        <f ca="1">IFERROR(__xludf.DUMMYFUNCTION("""COMPUTED_VALUE"""),"LASA")</f>
        <v>LASA</v>
      </c>
      <c r="D44" s="10" t="str">
        <f ca="1">IFERROR(__xludf.DUMMYFUNCTION("""COMPUTED_VALUE"""),"HS")</f>
        <v>HS</v>
      </c>
      <c r="E44" s="10">
        <f ca="1">IFERROR(__xludf.DUMMYFUNCTION("""COMPUTED_VALUE"""),255)</f>
        <v>255</v>
      </c>
      <c r="F44" s="10">
        <f ca="1">IFERROR(__xludf.DUMMYFUNCTION("""COMPUTED_VALUE"""),6)</f>
        <v>6</v>
      </c>
      <c r="G44" s="10">
        <f ca="1">IFERROR(__xludf.DUMMYFUNCTION("""COMPUTED_VALUE"""),136)</f>
        <v>136</v>
      </c>
      <c r="H44" s="10">
        <f ca="1">IFERROR(__xludf.DUMMYFUNCTION("""COMPUTED_VALUE"""),119)</f>
        <v>119</v>
      </c>
    </row>
    <row r="45" spans="1:8">
      <c r="A45" s="9">
        <f ca="1">IFERROR(__xludf.DUMMYFUNCTION("""COMPUTED_VALUE"""),11039)</f>
        <v>11039</v>
      </c>
      <c r="B45" s="10" t="str">
        <f ca="1">IFERROR(__xludf.DUMMYFUNCTION("""COMPUTED_VALUE"""),"Ty Camp")</f>
        <v>Ty Camp</v>
      </c>
      <c r="C45" s="10" t="str">
        <f ca="1">IFERROR(__xludf.DUMMYFUNCTION("""COMPUTED_VALUE"""),"LASA")</f>
        <v>LASA</v>
      </c>
      <c r="D45" s="10" t="str">
        <f ca="1">IFERROR(__xludf.DUMMYFUNCTION("""COMPUTED_VALUE"""),"HS")</f>
        <v>HS</v>
      </c>
      <c r="E45" s="10">
        <f ca="1">IFERROR(__xludf.DUMMYFUNCTION("""COMPUTED_VALUE"""),283)</f>
        <v>283</v>
      </c>
      <c r="F45" s="10">
        <f ca="1">IFERROR(__xludf.DUMMYFUNCTION("""COMPUTED_VALUE"""),16)</f>
        <v>16</v>
      </c>
      <c r="G45" s="10">
        <f ca="1">IFERROR(__xludf.DUMMYFUNCTION("""COMPUTED_VALUE"""),144)</f>
        <v>144</v>
      </c>
      <c r="H45" s="10">
        <f ca="1">IFERROR(__xludf.DUMMYFUNCTION("""COMPUTED_VALUE"""),139)</f>
        <v>139</v>
      </c>
    </row>
    <row r="46" spans="1:8">
      <c r="A46" s="9">
        <f ca="1">IFERROR(__xludf.DUMMYFUNCTION("""COMPUTED_VALUE"""),11040)</f>
        <v>11040</v>
      </c>
      <c r="B46" s="10" t="str">
        <f ca="1">IFERROR(__xludf.DUMMYFUNCTION("""COMPUTED_VALUE"""),"Zoe Abramowitz")</f>
        <v>Zoe Abramowitz</v>
      </c>
      <c r="C46" s="10" t="str">
        <f ca="1">IFERROR(__xludf.DUMMYFUNCTION("""COMPUTED_VALUE"""),"LASA")</f>
        <v>LASA</v>
      </c>
      <c r="D46" s="10" t="str">
        <f ca="1">IFERROR(__xludf.DUMMYFUNCTION("""COMPUTED_VALUE"""),"HS")</f>
        <v>HS</v>
      </c>
      <c r="E46" s="10">
        <f ca="1">IFERROR(__xludf.DUMMYFUNCTION("""COMPUTED_VALUE"""),250)</f>
        <v>250</v>
      </c>
      <c r="F46" s="10">
        <f ca="1">IFERROR(__xludf.DUMMYFUNCTION("""COMPUTED_VALUE"""),4)</f>
        <v>4</v>
      </c>
      <c r="G46" s="10">
        <f ca="1">IFERROR(__xludf.DUMMYFUNCTION("""COMPUTED_VALUE"""),133)</f>
        <v>133</v>
      </c>
      <c r="H46" s="10">
        <f ca="1">IFERROR(__xludf.DUMMYFUNCTION("""COMPUTED_VALUE"""),117)</f>
        <v>117</v>
      </c>
    </row>
    <row r="47" spans="1:8">
      <c r="A47" s="9">
        <f ca="1">IFERROR(__xludf.DUMMYFUNCTION("""COMPUTED_VALUE"""),12001)</f>
        <v>12001</v>
      </c>
      <c r="B47" s="10" t="str">
        <f ca="1">IFERROR(__xludf.DUMMYFUNCTION("""COMPUTED_VALUE"""),"Carson Metcalf")</f>
        <v>Carson Metcalf</v>
      </c>
      <c r="C47" s="10" t="str">
        <f ca="1">IFERROR(__xludf.DUMMYFUNCTION("""COMPUTED_VALUE"""),"LBJ")</f>
        <v>LBJ</v>
      </c>
      <c r="D47" s="10" t="str">
        <f ca="1">IFERROR(__xludf.DUMMYFUNCTION("""COMPUTED_VALUE"""),"HS")</f>
        <v>HS</v>
      </c>
      <c r="E47" s="10">
        <f ca="1">IFERROR(__xludf.DUMMYFUNCTION("""COMPUTED_VALUE"""),218)</f>
        <v>218</v>
      </c>
      <c r="F47" s="10">
        <f ca="1">IFERROR(__xludf.DUMMYFUNCTION("""COMPUTED_VALUE"""),1)</f>
        <v>1</v>
      </c>
      <c r="G47" s="10">
        <f ca="1">IFERROR(__xludf.DUMMYFUNCTION("""COMPUTED_VALUE"""),117)</f>
        <v>117</v>
      </c>
      <c r="H47" s="10">
        <f ca="1">IFERROR(__xludf.DUMMYFUNCTION("""COMPUTED_VALUE"""),101)</f>
        <v>101</v>
      </c>
    </row>
    <row r="48" spans="1:8">
      <c r="A48" s="9">
        <f ca="1">IFERROR(__xludf.DUMMYFUNCTION("""COMPUTED_VALUE"""),12002)</f>
        <v>12002</v>
      </c>
      <c r="B48" s="10" t="str">
        <f ca="1">IFERROR(__xludf.DUMMYFUNCTION("""COMPUTED_VALUE"""),"Katie Shannan")</f>
        <v>Katie Shannan</v>
      </c>
      <c r="C48" s="10" t="str">
        <f ca="1">IFERROR(__xludf.DUMMYFUNCTION("""COMPUTED_VALUE"""),"LBJ")</f>
        <v>LBJ</v>
      </c>
      <c r="D48" s="10" t="str">
        <f ca="1">IFERROR(__xludf.DUMMYFUNCTION("""COMPUTED_VALUE"""),"HS")</f>
        <v>HS</v>
      </c>
      <c r="E48" s="10">
        <f ca="1">IFERROR(__xludf.DUMMYFUNCTION("""COMPUTED_VALUE"""),243)</f>
        <v>243</v>
      </c>
      <c r="F48" s="10">
        <f ca="1">IFERROR(__xludf.DUMMYFUNCTION("""COMPUTED_VALUE"""),8)</f>
        <v>8</v>
      </c>
      <c r="G48" s="10">
        <f ca="1">IFERROR(__xludf.DUMMYFUNCTION("""COMPUTED_VALUE"""),133)</f>
        <v>133</v>
      </c>
      <c r="H48" s="10">
        <f ca="1">IFERROR(__xludf.DUMMYFUNCTION("""COMPUTED_VALUE"""),110)</f>
        <v>110</v>
      </c>
    </row>
    <row r="49" spans="1:8">
      <c r="A49" s="9">
        <f ca="1">IFERROR(__xludf.DUMMYFUNCTION("""COMPUTED_VALUE"""),12003)</f>
        <v>12003</v>
      </c>
      <c r="B49" s="10" t="str">
        <f ca="1">IFERROR(__xludf.DUMMYFUNCTION("""COMPUTED_VALUE"""),"Lola Palmer")</f>
        <v>Lola Palmer</v>
      </c>
      <c r="C49" s="10" t="str">
        <f ca="1">IFERROR(__xludf.DUMMYFUNCTION("""COMPUTED_VALUE"""),"LBJ")</f>
        <v>LBJ</v>
      </c>
      <c r="D49" s="10" t="str">
        <f ca="1">IFERROR(__xludf.DUMMYFUNCTION("""COMPUTED_VALUE"""),"HS")</f>
        <v>HS</v>
      </c>
      <c r="E49" s="10">
        <f ca="1">IFERROR(__xludf.DUMMYFUNCTION("""COMPUTED_VALUE"""),165)</f>
        <v>165</v>
      </c>
      <c r="F49" s="10">
        <f ca="1">IFERROR(__xludf.DUMMYFUNCTION("""COMPUTED_VALUE"""),1)</f>
        <v>1</v>
      </c>
      <c r="G49" s="10">
        <f ca="1">IFERROR(__xludf.DUMMYFUNCTION("""COMPUTED_VALUE"""),105)</f>
        <v>105</v>
      </c>
      <c r="H49" s="10">
        <f ca="1">IFERROR(__xludf.DUMMYFUNCTION("""COMPUTED_VALUE"""),60)</f>
        <v>60</v>
      </c>
    </row>
    <row r="50" spans="1:8">
      <c r="A50" s="9">
        <f ca="1">IFERROR(__xludf.DUMMYFUNCTION("""COMPUTED_VALUE"""),12004)</f>
        <v>12004</v>
      </c>
      <c r="B50" s="10" t="str">
        <f ca="1">IFERROR(__xludf.DUMMYFUNCTION("""COMPUTED_VALUE"""),"Luis Trejo")</f>
        <v>Luis Trejo</v>
      </c>
      <c r="C50" s="10" t="str">
        <f ca="1">IFERROR(__xludf.DUMMYFUNCTION("""COMPUTED_VALUE"""),"LBJ")</f>
        <v>LBJ</v>
      </c>
      <c r="D50" s="10" t="str">
        <f ca="1">IFERROR(__xludf.DUMMYFUNCTION("""COMPUTED_VALUE"""),"HS")</f>
        <v>HS</v>
      </c>
      <c r="E50" s="10">
        <f ca="1">IFERROR(__xludf.DUMMYFUNCTION("""COMPUTED_VALUE"""),191)</f>
        <v>191</v>
      </c>
      <c r="F50" s="10">
        <f ca="1">IFERROR(__xludf.DUMMYFUNCTION("""COMPUTED_VALUE"""),3)</f>
        <v>3</v>
      </c>
      <c r="G50" s="10">
        <f ca="1">IFERROR(__xludf.DUMMYFUNCTION("""COMPUTED_VALUE"""),104)</f>
        <v>104</v>
      </c>
      <c r="H50" s="10">
        <f ca="1">IFERROR(__xludf.DUMMYFUNCTION("""COMPUTED_VALUE"""),87)</f>
        <v>87</v>
      </c>
    </row>
    <row r="51" spans="1:8">
      <c r="A51" s="9">
        <f ca="1">IFERROR(__xludf.DUMMYFUNCTION("""COMPUTED_VALUE"""),13001)</f>
        <v>13001</v>
      </c>
      <c r="B51" s="10" t="str">
        <f ca="1">IFERROR(__xludf.DUMMYFUNCTION("""COMPUTED_VALUE"""),"Aariz Porbanderwalla")</f>
        <v>Aariz Porbanderwalla</v>
      </c>
      <c r="C51" s="10" t="str">
        <f ca="1">IFERROR(__xludf.DUMMYFUNCTION("""COMPUTED_VALUE"""),"Magellan International School")</f>
        <v>Magellan International School</v>
      </c>
      <c r="D51" s="10" t="str">
        <f ca="1">IFERROR(__xludf.DUMMYFUNCTION("""COMPUTED_VALUE"""),"MS")</f>
        <v>MS</v>
      </c>
      <c r="E51" s="10">
        <f ca="1">IFERROR(__xludf.DUMMYFUNCTION("""COMPUTED_VALUE"""),232)</f>
        <v>232</v>
      </c>
      <c r="F51" s="10">
        <f ca="1">IFERROR(__xludf.DUMMYFUNCTION("""COMPUTED_VALUE"""),4)</f>
        <v>4</v>
      </c>
      <c r="G51" s="10">
        <f ca="1">IFERROR(__xludf.DUMMYFUNCTION("""COMPUTED_VALUE"""),124)</f>
        <v>124</v>
      </c>
      <c r="H51" s="10">
        <f ca="1">IFERROR(__xludf.DUMMYFUNCTION("""COMPUTED_VALUE"""),108)</f>
        <v>108</v>
      </c>
    </row>
    <row r="52" spans="1:8">
      <c r="A52" s="9">
        <f ca="1">IFERROR(__xludf.DUMMYFUNCTION("""COMPUTED_VALUE"""),13002)</f>
        <v>13002</v>
      </c>
      <c r="B52" s="10" t="str">
        <f ca="1">IFERROR(__xludf.DUMMYFUNCTION("""COMPUTED_VALUE"""),"Addison Eyhorn")</f>
        <v>Addison Eyhorn</v>
      </c>
      <c r="C52" s="10" t="str">
        <f ca="1">IFERROR(__xludf.DUMMYFUNCTION("""COMPUTED_VALUE"""),"Magellan International School")</f>
        <v>Magellan International School</v>
      </c>
      <c r="D52" s="10" t="str">
        <f ca="1">IFERROR(__xludf.DUMMYFUNCTION("""COMPUTED_VALUE"""),"HS")</f>
        <v>HS</v>
      </c>
      <c r="E52" s="10">
        <f ca="1">IFERROR(__xludf.DUMMYFUNCTION("""COMPUTED_VALUE"""),270)</f>
        <v>270</v>
      </c>
      <c r="F52" s="10">
        <f ca="1">IFERROR(__xludf.DUMMYFUNCTION("""COMPUTED_VALUE"""),12)</f>
        <v>12</v>
      </c>
      <c r="G52" s="10">
        <f ca="1">IFERROR(__xludf.DUMMYFUNCTION("""COMPUTED_VALUE"""),142)</f>
        <v>142</v>
      </c>
      <c r="H52" s="10">
        <f ca="1">IFERROR(__xludf.DUMMYFUNCTION("""COMPUTED_VALUE"""),128)</f>
        <v>128</v>
      </c>
    </row>
    <row r="53" spans="1:8">
      <c r="A53" s="9">
        <f ca="1">IFERROR(__xludf.DUMMYFUNCTION("""COMPUTED_VALUE"""),13003)</f>
        <v>13003</v>
      </c>
      <c r="B53" s="10" t="str">
        <f ca="1">IFERROR(__xludf.DUMMYFUNCTION("""COMPUTED_VALUE"""),"Bennett Kerr")</f>
        <v>Bennett Kerr</v>
      </c>
      <c r="C53" s="10" t="str">
        <f ca="1">IFERROR(__xludf.DUMMYFUNCTION("""COMPUTED_VALUE"""),"Magellan International School")</f>
        <v>Magellan International School</v>
      </c>
      <c r="D53" s="10" t="str">
        <f ca="1">IFERROR(__xludf.DUMMYFUNCTION("""COMPUTED_VALUE"""),"MS")</f>
        <v>MS</v>
      </c>
      <c r="E53" s="10">
        <f ca="1">IFERROR(__xludf.DUMMYFUNCTION("""COMPUTED_VALUE"""),277)</f>
        <v>277</v>
      </c>
      <c r="F53" s="10">
        <f ca="1">IFERROR(__xludf.DUMMYFUNCTION("""COMPUTED_VALUE"""),12)</f>
        <v>12</v>
      </c>
      <c r="G53" s="10">
        <f ca="1">IFERROR(__xludf.DUMMYFUNCTION("""COMPUTED_VALUE"""),144)</f>
        <v>144</v>
      </c>
      <c r="H53" s="10">
        <f ca="1">IFERROR(__xludf.DUMMYFUNCTION("""COMPUTED_VALUE"""),133)</f>
        <v>133</v>
      </c>
    </row>
    <row r="54" spans="1:8">
      <c r="A54" s="9">
        <f ca="1">IFERROR(__xludf.DUMMYFUNCTION("""COMPUTED_VALUE"""),13004)</f>
        <v>13004</v>
      </c>
      <c r="B54" s="10" t="str">
        <f ca="1">IFERROR(__xludf.DUMMYFUNCTION("""COMPUTED_VALUE"""),"Brett Elkins")</f>
        <v>Brett Elkins</v>
      </c>
      <c r="C54" s="10" t="str">
        <f ca="1">IFERROR(__xludf.DUMMYFUNCTION("""COMPUTED_VALUE"""),"Magellan International School")</f>
        <v>Magellan International School</v>
      </c>
      <c r="D54" s="10" t="str">
        <f ca="1">IFERROR(__xludf.DUMMYFUNCTION("""COMPUTED_VALUE"""),"MS")</f>
        <v>MS</v>
      </c>
      <c r="E54" s="10">
        <f ca="1">IFERROR(__xludf.DUMMYFUNCTION("""COMPUTED_VALUE"""),270)</f>
        <v>270</v>
      </c>
      <c r="F54" s="10">
        <f ca="1">IFERROR(__xludf.DUMMYFUNCTION("""COMPUTED_VALUE"""),10)</f>
        <v>10</v>
      </c>
      <c r="G54" s="10">
        <f ca="1">IFERROR(__xludf.DUMMYFUNCTION("""COMPUTED_VALUE"""),137)</f>
        <v>137</v>
      </c>
      <c r="H54" s="10">
        <f ca="1">IFERROR(__xludf.DUMMYFUNCTION("""COMPUTED_VALUE"""),133)</f>
        <v>133</v>
      </c>
    </row>
    <row r="55" spans="1:8">
      <c r="A55" s="9">
        <f ca="1">IFERROR(__xludf.DUMMYFUNCTION("""COMPUTED_VALUE"""),13005)</f>
        <v>13005</v>
      </c>
      <c r="B55" s="10" t="str">
        <f ca="1">IFERROR(__xludf.DUMMYFUNCTION("""COMPUTED_VALUE"""),"Cassidy League")</f>
        <v>Cassidy League</v>
      </c>
      <c r="C55" s="10" t="str">
        <f ca="1">IFERROR(__xludf.DUMMYFUNCTION("""COMPUTED_VALUE"""),"Magellan International School")</f>
        <v>Magellan International School</v>
      </c>
      <c r="D55" s="10" t="str">
        <f ca="1">IFERROR(__xludf.DUMMYFUNCTION("""COMPUTED_VALUE"""),"MS")</f>
        <v>MS</v>
      </c>
      <c r="E55" s="10">
        <f ca="1">IFERROR(__xludf.DUMMYFUNCTION("""COMPUTED_VALUE"""),250)</f>
        <v>250</v>
      </c>
      <c r="F55" s="10">
        <f ca="1">IFERROR(__xludf.DUMMYFUNCTION("""COMPUTED_VALUE"""),5)</f>
        <v>5</v>
      </c>
      <c r="G55" s="10">
        <f ca="1">IFERROR(__xludf.DUMMYFUNCTION("""COMPUTED_VALUE"""),128)</f>
        <v>128</v>
      </c>
      <c r="H55" s="10">
        <f ca="1">IFERROR(__xludf.DUMMYFUNCTION("""COMPUTED_VALUE"""),122)</f>
        <v>122</v>
      </c>
    </row>
    <row r="56" spans="1:8">
      <c r="A56" s="9">
        <f ca="1">IFERROR(__xludf.DUMMYFUNCTION("""COMPUTED_VALUE"""),13006)</f>
        <v>13006</v>
      </c>
      <c r="B56" s="10" t="str">
        <f ca="1">IFERROR(__xludf.DUMMYFUNCTION("""COMPUTED_VALUE"""),"Celine Carlson")</f>
        <v>Celine Carlson</v>
      </c>
      <c r="C56" s="10" t="str">
        <f ca="1">IFERROR(__xludf.DUMMYFUNCTION("""COMPUTED_VALUE"""),"Magellan International School")</f>
        <v>Magellan International School</v>
      </c>
      <c r="D56" s="10" t="str">
        <f ca="1">IFERROR(__xludf.DUMMYFUNCTION("""COMPUTED_VALUE"""),"MS")</f>
        <v>MS</v>
      </c>
      <c r="E56" s="10">
        <f ca="1">IFERROR(__xludf.DUMMYFUNCTION("""COMPUTED_VALUE"""),262)</f>
        <v>262</v>
      </c>
      <c r="F56" s="10">
        <f ca="1">IFERROR(__xludf.DUMMYFUNCTION("""COMPUTED_VALUE"""),7)</f>
        <v>7</v>
      </c>
      <c r="G56" s="10">
        <f ca="1">IFERROR(__xludf.DUMMYFUNCTION("""COMPUTED_VALUE"""),136)</f>
        <v>136</v>
      </c>
      <c r="H56" s="10">
        <f ca="1">IFERROR(__xludf.DUMMYFUNCTION("""COMPUTED_VALUE"""),126)</f>
        <v>126</v>
      </c>
    </row>
    <row r="57" spans="1:8">
      <c r="A57" s="9">
        <f ca="1">IFERROR(__xludf.DUMMYFUNCTION("""COMPUTED_VALUE"""),13007)</f>
        <v>13007</v>
      </c>
      <c r="B57" s="10" t="str">
        <f ca="1">IFERROR(__xludf.DUMMYFUNCTION("""COMPUTED_VALUE"""),"Charles Yen")</f>
        <v>Charles Yen</v>
      </c>
      <c r="C57" s="10" t="str">
        <f ca="1">IFERROR(__xludf.DUMMYFUNCTION("""COMPUTED_VALUE"""),"Magellan International School")</f>
        <v>Magellan International School</v>
      </c>
      <c r="D57" s="10" t="str">
        <f ca="1">IFERROR(__xludf.DUMMYFUNCTION("""COMPUTED_VALUE"""),"HS")</f>
        <v>HS</v>
      </c>
      <c r="E57" s="10">
        <f ca="1">IFERROR(__xludf.DUMMYFUNCTION("""COMPUTED_VALUE"""),268)</f>
        <v>268</v>
      </c>
      <c r="F57" s="10">
        <f ca="1">IFERROR(__xludf.DUMMYFUNCTION("""COMPUTED_VALUE"""),12)</f>
        <v>12</v>
      </c>
      <c r="G57" s="10">
        <f ca="1">IFERROR(__xludf.DUMMYFUNCTION("""COMPUTED_VALUE"""),145)</f>
        <v>145</v>
      </c>
      <c r="H57" s="10">
        <f ca="1">IFERROR(__xludf.DUMMYFUNCTION("""COMPUTED_VALUE"""),123)</f>
        <v>123</v>
      </c>
    </row>
    <row r="58" spans="1:8">
      <c r="A58" s="9">
        <f ca="1">IFERROR(__xludf.DUMMYFUNCTION("""COMPUTED_VALUE"""),13008)</f>
        <v>13008</v>
      </c>
      <c r="B58" s="10" t="str">
        <f ca="1">IFERROR(__xludf.DUMMYFUNCTION("""COMPUTED_VALUE"""),"Jack Spotts")</f>
        <v>Jack Spotts</v>
      </c>
      <c r="C58" s="10" t="str">
        <f ca="1">IFERROR(__xludf.DUMMYFUNCTION("""COMPUTED_VALUE"""),"Magellan International School")</f>
        <v>Magellan International School</v>
      </c>
      <c r="D58" s="10" t="str">
        <f ca="1">IFERROR(__xludf.DUMMYFUNCTION("""COMPUTED_VALUE"""),"MS")</f>
        <v>MS</v>
      </c>
      <c r="E58" s="10">
        <f ca="1">IFERROR(__xludf.DUMMYFUNCTION("""COMPUTED_VALUE"""),275)</f>
        <v>275</v>
      </c>
      <c r="F58" s="10">
        <f ca="1">IFERROR(__xludf.DUMMYFUNCTION("""COMPUTED_VALUE"""),15)</f>
        <v>15</v>
      </c>
      <c r="G58" s="10">
        <f ca="1">IFERROR(__xludf.DUMMYFUNCTION("""COMPUTED_VALUE"""),144)</f>
        <v>144</v>
      </c>
      <c r="H58" s="10">
        <f ca="1">IFERROR(__xludf.DUMMYFUNCTION("""COMPUTED_VALUE"""),131)</f>
        <v>131</v>
      </c>
    </row>
    <row r="59" spans="1:8">
      <c r="A59" s="9">
        <f ca="1">IFERROR(__xludf.DUMMYFUNCTION("""COMPUTED_VALUE"""),13009)</f>
        <v>13009</v>
      </c>
      <c r="B59" s="10" t="str">
        <f ca="1">IFERROR(__xludf.DUMMYFUNCTION("""COMPUTED_VALUE"""),"Parker Ziller")</f>
        <v>Parker Ziller</v>
      </c>
      <c r="C59" s="10" t="str">
        <f ca="1">IFERROR(__xludf.DUMMYFUNCTION("""COMPUTED_VALUE"""),"Magellan International School")</f>
        <v>Magellan International School</v>
      </c>
      <c r="D59" s="10" t="str">
        <f ca="1">IFERROR(__xludf.DUMMYFUNCTION("""COMPUTED_VALUE"""),"MS")</f>
        <v>MS</v>
      </c>
      <c r="E59" s="10">
        <f ca="1">IFERROR(__xludf.DUMMYFUNCTION("""COMPUTED_VALUE"""),251)</f>
        <v>251</v>
      </c>
      <c r="F59" s="10">
        <f ca="1">IFERROR(__xludf.DUMMYFUNCTION("""COMPUTED_VALUE"""),5)</f>
        <v>5</v>
      </c>
      <c r="G59" s="10">
        <f ca="1">IFERROR(__xludf.DUMMYFUNCTION("""COMPUTED_VALUE"""),126)</f>
        <v>126</v>
      </c>
      <c r="H59" s="10">
        <f ca="1">IFERROR(__xludf.DUMMYFUNCTION("""COMPUTED_VALUE"""),125)</f>
        <v>125</v>
      </c>
    </row>
    <row r="60" spans="1:8">
      <c r="A60" s="9">
        <f ca="1">IFERROR(__xludf.DUMMYFUNCTION("""COMPUTED_VALUE"""),13010)</f>
        <v>13010</v>
      </c>
      <c r="B60" s="10" t="str">
        <f ca="1">IFERROR(__xludf.DUMMYFUNCTION("""COMPUTED_VALUE"""),"Sofia Hake")</f>
        <v>Sofia Hake</v>
      </c>
      <c r="C60" s="10" t="str">
        <f ca="1">IFERROR(__xludf.DUMMYFUNCTION("""COMPUTED_VALUE"""),"Magellan International School")</f>
        <v>Magellan International School</v>
      </c>
      <c r="D60" s="10" t="str">
        <f ca="1">IFERROR(__xludf.DUMMYFUNCTION("""COMPUTED_VALUE"""),"MS")</f>
        <v>MS</v>
      </c>
      <c r="E60" s="10">
        <f ca="1">IFERROR(__xludf.DUMMYFUNCTION("""COMPUTED_VALUE"""),254)</f>
        <v>254</v>
      </c>
      <c r="F60" s="10">
        <f ca="1">IFERROR(__xludf.DUMMYFUNCTION("""COMPUTED_VALUE"""),3)</f>
        <v>3</v>
      </c>
      <c r="G60" s="10">
        <f ca="1">IFERROR(__xludf.DUMMYFUNCTION("""COMPUTED_VALUE"""),126)</f>
        <v>126</v>
      </c>
      <c r="H60" s="10">
        <f ca="1">IFERROR(__xludf.DUMMYFUNCTION("""COMPUTED_VALUE"""),128)</f>
        <v>128</v>
      </c>
    </row>
    <row r="61" spans="1:8">
      <c r="A61" s="9">
        <f ca="1">IFERROR(__xludf.DUMMYFUNCTION("""COMPUTED_VALUE"""),13011)</f>
        <v>13011</v>
      </c>
      <c r="B61" s="10" t="str">
        <f ca="1">IFERROR(__xludf.DUMMYFUNCTION("""COMPUTED_VALUE"""),"Vivian Dickenson")</f>
        <v>Vivian Dickenson</v>
      </c>
      <c r="C61" s="10" t="str">
        <f ca="1">IFERROR(__xludf.DUMMYFUNCTION("""COMPUTED_VALUE"""),"Magellan International School")</f>
        <v>Magellan International School</v>
      </c>
      <c r="D61" s="10" t="str">
        <f ca="1">IFERROR(__xludf.DUMMYFUNCTION("""COMPUTED_VALUE"""),"MS")</f>
        <v>MS</v>
      </c>
      <c r="E61" s="10">
        <f ca="1">IFERROR(__xludf.DUMMYFUNCTION("""COMPUTED_VALUE"""),248)</f>
        <v>248</v>
      </c>
      <c r="F61" s="10">
        <f ca="1">IFERROR(__xludf.DUMMYFUNCTION("""COMPUTED_VALUE"""),6)</f>
        <v>6</v>
      </c>
      <c r="G61" s="10">
        <f ca="1">IFERROR(__xludf.DUMMYFUNCTION("""COMPUTED_VALUE"""),132)</f>
        <v>132</v>
      </c>
      <c r="H61" s="10">
        <f ca="1">IFERROR(__xludf.DUMMYFUNCTION("""COMPUTED_VALUE"""),116)</f>
        <v>116</v>
      </c>
    </row>
    <row r="62" spans="1:8">
      <c r="A62" s="9">
        <f ca="1">IFERROR(__xludf.DUMMYFUNCTION("""COMPUTED_VALUE"""),13012)</f>
        <v>13012</v>
      </c>
      <c r="B62" s="10" t="str">
        <f ca="1">IFERROR(__xludf.DUMMYFUNCTION("""COMPUTED_VALUE"""),"Ziya Heath")</f>
        <v>Ziya Heath</v>
      </c>
      <c r="C62" s="10" t="str">
        <f ca="1">IFERROR(__xludf.DUMMYFUNCTION("""COMPUTED_VALUE"""),"Magellan International School")</f>
        <v>Magellan International School</v>
      </c>
      <c r="D62" s="10" t="str">
        <f ca="1">IFERROR(__xludf.DUMMYFUNCTION("""COMPUTED_VALUE"""),"MS")</f>
        <v>MS</v>
      </c>
      <c r="E62" s="10">
        <f ca="1">IFERROR(__xludf.DUMMYFUNCTION("""COMPUTED_VALUE"""),248)</f>
        <v>248</v>
      </c>
      <c r="F62" s="10">
        <f ca="1">IFERROR(__xludf.DUMMYFUNCTION("""COMPUTED_VALUE"""),8)</f>
        <v>8</v>
      </c>
      <c r="G62" s="10">
        <f ca="1">IFERROR(__xludf.DUMMYFUNCTION("""COMPUTED_VALUE"""),136)</f>
        <v>136</v>
      </c>
      <c r="H62" s="10">
        <f ca="1">IFERROR(__xludf.DUMMYFUNCTION("""COMPUTED_VALUE"""),112)</f>
        <v>112</v>
      </c>
    </row>
    <row r="63" spans="1:8">
      <c r="A63" s="9">
        <f ca="1">IFERROR(__xludf.DUMMYFUNCTION("""COMPUTED_VALUE"""),14001)</f>
        <v>14001</v>
      </c>
      <c r="B63" s="10" t="str">
        <f ca="1">IFERROR(__xludf.DUMMYFUNCTION("""COMPUTED_VALUE"""),"Adele Tsang")</f>
        <v>Adele Tsang</v>
      </c>
      <c r="C63" s="10" t="str">
        <f ca="1">IFERROR(__xludf.DUMMYFUNCTION("""COMPUTED_VALUE"""),"McCallum High School")</f>
        <v>McCallum High School</v>
      </c>
      <c r="D63" s="10" t="str">
        <f ca="1">IFERROR(__xludf.DUMMYFUNCTION("""COMPUTED_VALUE"""),"HS")</f>
        <v>HS</v>
      </c>
      <c r="E63" s="10">
        <f ca="1">IFERROR(__xludf.DUMMYFUNCTION("""COMPUTED_VALUE"""),257)</f>
        <v>257</v>
      </c>
      <c r="F63" s="10">
        <f ca="1">IFERROR(__xludf.DUMMYFUNCTION("""COMPUTED_VALUE"""),7)</f>
        <v>7</v>
      </c>
      <c r="G63" s="10">
        <f ca="1">IFERROR(__xludf.DUMMYFUNCTION("""COMPUTED_VALUE"""),135)</f>
        <v>135</v>
      </c>
      <c r="H63" s="10">
        <f ca="1">IFERROR(__xludf.DUMMYFUNCTION("""COMPUTED_VALUE"""),122)</f>
        <v>122</v>
      </c>
    </row>
    <row r="64" spans="1:8">
      <c r="A64" s="9">
        <f ca="1">IFERROR(__xludf.DUMMYFUNCTION("""COMPUTED_VALUE"""),14002)</f>
        <v>14002</v>
      </c>
      <c r="B64" s="10" t="str">
        <f ca="1">IFERROR(__xludf.DUMMYFUNCTION("""COMPUTED_VALUE"""),"Althea Bradbury-Flores")</f>
        <v>Althea Bradbury-Flores</v>
      </c>
      <c r="C64" s="10" t="str">
        <f ca="1">IFERROR(__xludf.DUMMYFUNCTION("""COMPUTED_VALUE"""),"McCallum High School")</f>
        <v>McCallum High School</v>
      </c>
      <c r="D64" s="10" t="str">
        <f ca="1">IFERROR(__xludf.DUMMYFUNCTION("""COMPUTED_VALUE"""),"HS")</f>
        <v>HS</v>
      </c>
      <c r="E64" s="10">
        <f ca="1">IFERROR(__xludf.DUMMYFUNCTION("""COMPUTED_VALUE"""),274)</f>
        <v>274</v>
      </c>
      <c r="F64" s="10">
        <f ca="1">IFERROR(__xludf.DUMMYFUNCTION("""COMPUTED_VALUE"""),12)</f>
        <v>12</v>
      </c>
      <c r="G64" s="10">
        <f ca="1">IFERROR(__xludf.DUMMYFUNCTION("""COMPUTED_VALUE"""),141)</f>
        <v>141</v>
      </c>
      <c r="H64" s="10">
        <f ca="1">IFERROR(__xludf.DUMMYFUNCTION("""COMPUTED_VALUE"""),133)</f>
        <v>133</v>
      </c>
    </row>
    <row r="65" spans="1:8">
      <c r="A65" s="9">
        <f ca="1">IFERROR(__xludf.DUMMYFUNCTION("""COMPUTED_VALUE"""),14003)</f>
        <v>14003</v>
      </c>
      <c r="B65" s="10" t="str">
        <f ca="1">IFERROR(__xludf.DUMMYFUNCTION("""COMPUTED_VALUE"""),"Ash Tomlinson Trent")</f>
        <v>Ash Tomlinson Trent</v>
      </c>
      <c r="C65" s="10" t="str">
        <f ca="1">IFERROR(__xludf.DUMMYFUNCTION("""COMPUTED_VALUE"""),"McCallum High School")</f>
        <v>McCallum High School</v>
      </c>
      <c r="D65" s="10" t="str">
        <f ca="1">IFERROR(__xludf.DUMMYFUNCTION("""COMPUTED_VALUE"""),"HS")</f>
        <v>HS</v>
      </c>
      <c r="E65" s="10">
        <f ca="1">IFERROR(__xludf.DUMMYFUNCTION("""COMPUTED_VALUE"""),238)</f>
        <v>238</v>
      </c>
      <c r="F65" s="10">
        <f ca="1">IFERROR(__xludf.DUMMYFUNCTION("""COMPUTED_VALUE"""),5)</f>
        <v>5</v>
      </c>
      <c r="G65" s="10">
        <f ca="1">IFERROR(__xludf.DUMMYFUNCTION("""COMPUTED_VALUE"""),135)</f>
        <v>135</v>
      </c>
      <c r="H65" s="10">
        <f ca="1">IFERROR(__xludf.DUMMYFUNCTION("""COMPUTED_VALUE"""),103)</f>
        <v>103</v>
      </c>
    </row>
    <row r="66" spans="1:8">
      <c r="A66" s="9">
        <f ca="1">IFERROR(__xludf.DUMMYFUNCTION("""COMPUTED_VALUE"""),14004)</f>
        <v>14004</v>
      </c>
      <c r="B66" s="10" t="str">
        <f ca="1">IFERROR(__xludf.DUMMYFUNCTION("""COMPUTED_VALUE"""),"Callahan Boruff")</f>
        <v>Callahan Boruff</v>
      </c>
      <c r="C66" s="10" t="str">
        <f ca="1">IFERROR(__xludf.DUMMYFUNCTION("""COMPUTED_VALUE"""),"McCallum High School")</f>
        <v>McCallum High School</v>
      </c>
      <c r="D66" s="10" t="str">
        <f ca="1">IFERROR(__xludf.DUMMYFUNCTION("""COMPUTED_VALUE"""),"HS")</f>
        <v>HS</v>
      </c>
      <c r="E66" s="10">
        <f ca="1">IFERROR(__xludf.DUMMYFUNCTION("""COMPUTED_VALUE"""),274)</f>
        <v>274</v>
      </c>
      <c r="F66" s="10">
        <f ca="1">IFERROR(__xludf.DUMMYFUNCTION("""COMPUTED_VALUE"""),14)</f>
        <v>14</v>
      </c>
      <c r="G66" s="10">
        <f ca="1">IFERROR(__xludf.DUMMYFUNCTION("""COMPUTED_VALUE"""),144)</f>
        <v>144</v>
      </c>
      <c r="H66" s="10">
        <f ca="1">IFERROR(__xludf.DUMMYFUNCTION("""COMPUTED_VALUE"""),130)</f>
        <v>130</v>
      </c>
    </row>
    <row r="67" spans="1:8">
      <c r="A67" s="9">
        <f ca="1">IFERROR(__xludf.DUMMYFUNCTION("""COMPUTED_VALUE"""),14005)</f>
        <v>14005</v>
      </c>
      <c r="B67" s="10" t="str">
        <f ca="1">IFERROR(__xludf.DUMMYFUNCTION("""COMPUTED_VALUE"""),"Carley Lardizabal")</f>
        <v>Carley Lardizabal</v>
      </c>
      <c r="C67" s="10" t="str">
        <f ca="1">IFERROR(__xludf.DUMMYFUNCTION("""COMPUTED_VALUE"""),"McCallum High School")</f>
        <v>McCallum High School</v>
      </c>
      <c r="D67" s="10" t="str">
        <f ca="1">IFERROR(__xludf.DUMMYFUNCTION("""COMPUTED_VALUE"""),"HS")</f>
        <v>HS</v>
      </c>
      <c r="E67" s="10">
        <f ca="1">IFERROR(__xludf.DUMMYFUNCTION("""COMPUTED_VALUE"""),262)</f>
        <v>262</v>
      </c>
      <c r="F67" s="10">
        <f ca="1">IFERROR(__xludf.DUMMYFUNCTION("""COMPUTED_VALUE"""),10)</f>
        <v>10</v>
      </c>
      <c r="G67" s="10">
        <f ca="1">IFERROR(__xludf.DUMMYFUNCTION("""COMPUTED_VALUE"""),141)</f>
        <v>141</v>
      </c>
      <c r="H67" s="10">
        <f ca="1">IFERROR(__xludf.DUMMYFUNCTION("""COMPUTED_VALUE"""),121)</f>
        <v>121</v>
      </c>
    </row>
    <row r="68" spans="1:8">
      <c r="A68" s="9">
        <f ca="1">IFERROR(__xludf.DUMMYFUNCTION("""COMPUTED_VALUE"""),14006)</f>
        <v>14006</v>
      </c>
      <c r="B68" s="10" t="str">
        <f ca="1">IFERROR(__xludf.DUMMYFUNCTION("""COMPUTED_VALUE"""),"Cash Dolan")</f>
        <v>Cash Dolan</v>
      </c>
      <c r="C68" s="10" t="str">
        <f ca="1">IFERROR(__xludf.DUMMYFUNCTION("""COMPUTED_VALUE"""),"McCallum High School")</f>
        <v>McCallum High School</v>
      </c>
      <c r="D68" s="10" t="str">
        <f ca="1">IFERROR(__xludf.DUMMYFUNCTION("""COMPUTED_VALUE"""),"HS")</f>
        <v>HS</v>
      </c>
      <c r="E68" s="10">
        <f ca="1">IFERROR(__xludf.DUMMYFUNCTION("""COMPUTED_VALUE"""),254)</f>
        <v>254</v>
      </c>
      <c r="F68" s="10">
        <f ca="1">IFERROR(__xludf.DUMMYFUNCTION("""COMPUTED_VALUE"""),10)</f>
        <v>10</v>
      </c>
      <c r="G68" s="10">
        <f ca="1">IFERROR(__xludf.DUMMYFUNCTION("""COMPUTED_VALUE"""),136)</f>
        <v>136</v>
      </c>
      <c r="H68" s="10">
        <f ca="1">IFERROR(__xludf.DUMMYFUNCTION("""COMPUTED_VALUE"""),118)</f>
        <v>118</v>
      </c>
    </row>
    <row r="69" spans="1:8">
      <c r="A69" s="9">
        <f ca="1">IFERROR(__xludf.DUMMYFUNCTION("""COMPUTED_VALUE"""),14007)</f>
        <v>14007</v>
      </c>
      <c r="B69" s="10" t="str">
        <f ca="1">IFERROR(__xludf.DUMMYFUNCTION("""COMPUTED_VALUE"""),"Desmond Greenwell")</f>
        <v>Desmond Greenwell</v>
      </c>
      <c r="C69" s="10" t="str">
        <f ca="1">IFERROR(__xludf.DUMMYFUNCTION("""COMPUTED_VALUE"""),"McCallum High School")</f>
        <v>McCallum High School</v>
      </c>
      <c r="D69" s="10" t="str">
        <f ca="1">IFERROR(__xludf.DUMMYFUNCTION("""COMPUTED_VALUE"""),"HS")</f>
        <v>HS</v>
      </c>
      <c r="E69" s="10">
        <f ca="1">IFERROR(__xludf.DUMMYFUNCTION("""COMPUTED_VALUE"""),259)</f>
        <v>259</v>
      </c>
      <c r="F69" s="10">
        <f ca="1">IFERROR(__xludf.DUMMYFUNCTION("""COMPUTED_VALUE"""),9)</f>
        <v>9</v>
      </c>
      <c r="G69" s="10">
        <f ca="1">IFERROR(__xludf.DUMMYFUNCTION("""COMPUTED_VALUE"""),139)</f>
        <v>139</v>
      </c>
      <c r="H69" s="10">
        <f ca="1">IFERROR(__xludf.DUMMYFUNCTION("""COMPUTED_VALUE"""),120)</f>
        <v>120</v>
      </c>
    </row>
    <row r="70" spans="1:8">
      <c r="A70" s="9">
        <f ca="1">IFERROR(__xludf.DUMMYFUNCTION("""COMPUTED_VALUE"""),14008)</f>
        <v>14008</v>
      </c>
      <c r="B70" s="10" t="str">
        <f ca="1">IFERROR(__xludf.DUMMYFUNCTION("""COMPUTED_VALUE"""),"Elliott Curry")</f>
        <v>Elliott Curry</v>
      </c>
      <c r="C70" s="10" t="str">
        <f ca="1">IFERROR(__xludf.DUMMYFUNCTION("""COMPUTED_VALUE"""),"McCallum High School")</f>
        <v>McCallum High School</v>
      </c>
      <c r="D70" s="10" t="str">
        <f ca="1">IFERROR(__xludf.DUMMYFUNCTION("""COMPUTED_VALUE"""),"HS")</f>
        <v>HS</v>
      </c>
      <c r="E70" s="10">
        <f ca="1">IFERROR(__xludf.DUMMYFUNCTION("""COMPUTED_VALUE"""),260)</f>
        <v>260</v>
      </c>
      <c r="F70" s="10">
        <f ca="1">IFERROR(__xludf.DUMMYFUNCTION("""COMPUTED_VALUE"""),8)</f>
        <v>8</v>
      </c>
      <c r="G70" s="10">
        <f ca="1">IFERROR(__xludf.DUMMYFUNCTION("""COMPUTED_VALUE"""),136)</f>
        <v>136</v>
      </c>
      <c r="H70" s="10">
        <f ca="1">IFERROR(__xludf.DUMMYFUNCTION("""COMPUTED_VALUE"""),124)</f>
        <v>124</v>
      </c>
    </row>
    <row r="71" spans="1:8">
      <c r="A71" s="9">
        <f ca="1">IFERROR(__xludf.DUMMYFUNCTION("""COMPUTED_VALUE"""),14009)</f>
        <v>14009</v>
      </c>
      <c r="B71" s="10" t="str">
        <f ca="1">IFERROR(__xludf.DUMMYFUNCTION("""COMPUTED_VALUE"""),"Evan Kim")</f>
        <v>Evan Kim</v>
      </c>
      <c r="C71" s="10" t="str">
        <f ca="1">IFERROR(__xludf.DUMMYFUNCTION("""COMPUTED_VALUE"""),"McCallum High School")</f>
        <v>McCallum High School</v>
      </c>
      <c r="D71" s="10" t="str">
        <f ca="1">IFERROR(__xludf.DUMMYFUNCTION("""COMPUTED_VALUE"""),"HS")</f>
        <v>HS</v>
      </c>
      <c r="E71" s="10">
        <f ca="1">IFERROR(__xludf.DUMMYFUNCTION("""COMPUTED_VALUE"""),238)</f>
        <v>238</v>
      </c>
      <c r="F71" s="10">
        <f ca="1">IFERROR(__xludf.DUMMYFUNCTION("""COMPUTED_VALUE"""),5)</f>
        <v>5</v>
      </c>
      <c r="G71" s="10">
        <f ca="1">IFERROR(__xludf.DUMMYFUNCTION("""COMPUTED_VALUE"""),130)</f>
        <v>130</v>
      </c>
      <c r="H71" s="10">
        <f ca="1">IFERROR(__xludf.DUMMYFUNCTION("""COMPUTED_VALUE"""),108)</f>
        <v>108</v>
      </c>
    </row>
    <row r="72" spans="1:8">
      <c r="A72" s="9">
        <f ca="1">IFERROR(__xludf.DUMMYFUNCTION("""COMPUTED_VALUE"""),14010)</f>
        <v>14010</v>
      </c>
      <c r="B72" s="10" t="str">
        <f ca="1">IFERROR(__xludf.DUMMYFUNCTION("""COMPUTED_VALUE"""),"Franklin Holleman")</f>
        <v>Franklin Holleman</v>
      </c>
      <c r="C72" s="10" t="str">
        <f ca="1">IFERROR(__xludf.DUMMYFUNCTION("""COMPUTED_VALUE"""),"McCallum High School")</f>
        <v>McCallum High School</v>
      </c>
      <c r="D72" s="10" t="str">
        <f ca="1">IFERROR(__xludf.DUMMYFUNCTION("""COMPUTED_VALUE"""),"HS")</f>
        <v>HS</v>
      </c>
      <c r="E72" s="10">
        <f ca="1">IFERROR(__xludf.DUMMYFUNCTION("""COMPUTED_VALUE"""),280)</f>
        <v>280</v>
      </c>
      <c r="F72" s="10">
        <f ca="1">IFERROR(__xludf.DUMMYFUNCTION("""COMPUTED_VALUE"""),14)</f>
        <v>14</v>
      </c>
      <c r="G72" s="10">
        <f ca="1">IFERROR(__xludf.DUMMYFUNCTION("""COMPUTED_VALUE"""),141)</f>
        <v>141</v>
      </c>
      <c r="H72" s="10">
        <f ca="1">IFERROR(__xludf.DUMMYFUNCTION("""COMPUTED_VALUE"""),139)</f>
        <v>139</v>
      </c>
    </row>
    <row r="73" spans="1:8">
      <c r="A73" s="9">
        <f ca="1">IFERROR(__xludf.DUMMYFUNCTION("""COMPUTED_VALUE"""),14011)</f>
        <v>14011</v>
      </c>
      <c r="B73" s="10" t="str">
        <f ca="1">IFERROR(__xludf.DUMMYFUNCTION("""COMPUTED_VALUE"""),"Henry Peacock")</f>
        <v>Henry Peacock</v>
      </c>
      <c r="C73" s="10" t="str">
        <f ca="1">IFERROR(__xludf.DUMMYFUNCTION("""COMPUTED_VALUE"""),"McCallum High School")</f>
        <v>McCallum High School</v>
      </c>
      <c r="D73" s="10" t="str">
        <f ca="1">IFERROR(__xludf.DUMMYFUNCTION("""COMPUTED_VALUE"""),"HS")</f>
        <v>HS</v>
      </c>
      <c r="E73" s="10">
        <f ca="1">IFERROR(__xludf.DUMMYFUNCTION("""COMPUTED_VALUE"""),289)</f>
        <v>289</v>
      </c>
      <c r="F73" s="10">
        <f ca="1">IFERROR(__xludf.DUMMYFUNCTION("""COMPUTED_VALUE"""),20)</f>
        <v>20</v>
      </c>
      <c r="G73" s="10">
        <f ca="1">IFERROR(__xludf.DUMMYFUNCTION("""COMPUTED_VALUE"""),146)</f>
        <v>146</v>
      </c>
      <c r="H73" s="10">
        <f ca="1">IFERROR(__xludf.DUMMYFUNCTION("""COMPUTED_VALUE"""),143)</f>
        <v>143</v>
      </c>
    </row>
    <row r="74" spans="1:8">
      <c r="A74" s="9">
        <f ca="1">IFERROR(__xludf.DUMMYFUNCTION("""COMPUTED_VALUE"""),14012)</f>
        <v>14012</v>
      </c>
      <c r="B74" s="10" t="str">
        <f ca="1">IFERROR(__xludf.DUMMYFUNCTION("""COMPUTED_VALUE"""),"Hudson Webb")</f>
        <v>Hudson Webb</v>
      </c>
      <c r="C74" s="10" t="str">
        <f ca="1">IFERROR(__xludf.DUMMYFUNCTION("""COMPUTED_VALUE"""),"McCallum High School")</f>
        <v>McCallum High School</v>
      </c>
      <c r="D74" s="10" t="str">
        <f ca="1">IFERROR(__xludf.DUMMYFUNCTION("""COMPUTED_VALUE"""),"HS")</f>
        <v>HS</v>
      </c>
      <c r="E74" s="10">
        <f ca="1">IFERROR(__xludf.DUMMYFUNCTION("""COMPUTED_VALUE"""),242)</f>
        <v>242</v>
      </c>
      <c r="F74" s="10">
        <f ca="1">IFERROR(__xludf.DUMMYFUNCTION("""COMPUTED_VALUE"""),3)</f>
        <v>3</v>
      </c>
      <c r="G74" s="10">
        <f ca="1">IFERROR(__xludf.DUMMYFUNCTION("""COMPUTED_VALUE"""),132)</f>
        <v>132</v>
      </c>
      <c r="H74" s="10">
        <f ca="1">IFERROR(__xludf.DUMMYFUNCTION("""COMPUTED_VALUE"""),110)</f>
        <v>110</v>
      </c>
    </row>
    <row r="75" spans="1:8">
      <c r="A75" s="9">
        <f ca="1">IFERROR(__xludf.DUMMYFUNCTION("""COMPUTED_VALUE"""),14013)</f>
        <v>14013</v>
      </c>
      <c r="B75" s="10" t="str">
        <f ca="1">IFERROR(__xludf.DUMMYFUNCTION("""COMPUTED_VALUE"""),"Jacob Griesemer")</f>
        <v>Jacob Griesemer</v>
      </c>
      <c r="C75" s="10" t="str">
        <f ca="1">IFERROR(__xludf.DUMMYFUNCTION("""COMPUTED_VALUE"""),"McCallum High School")</f>
        <v>McCallum High School</v>
      </c>
      <c r="D75" s="10" t="str">
        <f ca="1">IFERROR(__xludf.DUMMYFUNCTION("""COMPUTED_VALUE"""),"HS")</f>
        <v>HS</v>
      </c>
      <c r="E75" s="10">
        <f ca="1">IFERROR(__xludf.DUMMYFUNCTION("""COMPUTED_VALUE"""),280)</f>
        <v>280</v>
      </c>
      <c r="F75" s="10">
        <f ca="1">IFERROR(__xludf.DUMMYFUNCTION("""COMPUTED_VALUE"""),14)</f>
        <v>14</v>
      </c>
      <c r="G75" s="10">
        <f ca="1">IFERROR(__xludf.DUMMYFUNCTION("""COMPUTED_VALUE"""),140)</f>
        <v>140</v>
      </c>
      <c r="H75" s="10">
        <f ca="1">IFERROR(__xludf.DUMMYFUNCTION("""COMPUTED_VALUE"""),140)</f>
        <v>140</v>
      </c>
    </row>
    <row r="76" spans="1:8">
      <c r="A76" s="9">
        <f ca="1">IFERROR(__xludf.DUMMYFUNCTION("""COMPUTED_VALUE"""),14014)</f>
        <v>14014</v>
      </c>
      <c r="B76" s="10" t="str">
        <f ca="1">IFERROR(__xludf.DUMMYFUNCTION("""COMPUTED_VALUE"""),"Jax Enriquez")</f>
        <v>Jax Enriquez</v>
      </c>
      <c r="C76" s="10" t="str">
        <f ca="1">IFERROR(__xludf.DUMMYFUNCTION("""COMPUTED_VALUE"""),"McCallum High School")</f>
        <v>McCallum High School</v>
      </c>
      <c r="D76" s="10" t="str">
        <f ca="1">IFERROR(__xludf.DUMMYFUNCTION("""COMPUTED_VALUE"""),"HS")</f>
        <v>HS</v>
      </c>
      <c r="E76" s="10">
        <f ca="1">IFERROR(__xludf.DUMMYFUNCTION("""COMPUTED_VALUE"""),263)</f>
        <v>263</v>
      </c>
      <c r="F76" s="10">
        <f ca="1">IFERROR(__xludf.DUMMYFUNCTION("""COMPUTED_VALUE"""),10)</f>
        <v>10</v>
      </c>
      <c r="G76" s="10">
        <f ca="1">IFERROR(__xludf.DUMMYFUNCTION("""COMPUTED_VALUE"""),142)</f>
        <v>142</v>
      </c>
      <c r="H76" s="10">
        <f ca="1">IFERROR(__xludf.DUMMYFUNCTION("""COMPUTED_VALUE"""),121)</f>
        <v>121</v>
      </c>
    </row>
    <row r="77" spans="1:8">
      <c r="A77" s="9">
        <f ca="1">IFERROR(__xludf.DUMMYFUNCTION("""COMPUTED_VALUE"""),14015)</f>
        <v>14015</v>
      </c>
      <c r="B77" s="10" t="str">
        <f ca="1">IFERROR(__xludf.DUMMYFUNCTION("""COMPUTED_VALUE"""),"Kellan Douglas")</f>
        <v>Kellan Douglas</v>
      </c>
      <c r="C77" s="10" t="str">
        <f ca="1">IFERROR(__xludf.DUMMYFUNCTION("""COMPUTED_VALUE"""),"McCallum High School")</f>
        <v>McCallum High School</v>
      </c>
      <c r="D77" s="10" t="str">
        <f ca="1">IFERROR(__xludf.DUMMYFUNCTION("""COMPUTED_VALUE"""),"HS")</f>
        <v>HS</v>
      </c>
      <c r="E77" s="10">
        <f ca="1">IFERROR(__xludf.DUMMYFUNCTION("""COMPUTED_VALUE"""),267)</f>
        <v>267</v>
      </c>
      <c r="F77" s="10">
        <f ca="1">IFERROR(__xludf.DUMMYFUNCTION("""COMPUTED_VALUE"""),7)</f>
        <v>7</v>
      </c>
      <c r="G77" s="10">
        <f ca="1">IFERROR(__xludf.DUMMYFUNCTION("""COMPUTED_VALUE"""),138)</f>
        <v>138</v>
      </c>
      <c r="H77" s="10">
        <f ca="1">IFERROR(__xludf.DUMMYFUNCTION("""COMPUTED_VALUE"""),129)</f>
        <v>129</v>
      </c>
    </row>
    <row r="78" spans="1:8">
      <c r="A78" s="9">
        <f ca="1">IFERROR(__xludf.DUMMYFUNCTION("""COMPUTED_VALUE"""),14016)</f>
        <v>14016</v>
      </c>
      <c r="B78" s="10" t="str">
        <f ca="1">IFERROR(__xludf.DUMMYFUNCTION("""COMPUTED_VALUE"""),"Maddie Hunte-Beasley")</f>
        <v>Maddie Hunte-Beasley</v>
      </c>
      <c r="C78" s="10" t="str">
        <f ca="1">IFERROR(__xludf.DUMMYFUNCTION("""COMPUTED_VALUE"""),"McCallum High School")</f>
        <v>McCallum High School</v>
      </c>
      <c r="D78" s="10" t="str">
        <f ca="1">IFERROR(__xludf.DUMMYFUNCTION("""COMPUTED_VALUE"""),"HS")</f>
        <v>HS</v>
      </c>
      <c r="E78" s="10">
        <f ca="1">IFERROR(__xludf.DUMMYFUNCTION("""COMPUTED_VALUE"""),275)</f>
        <v>275</v>
      </c>
      <c r="F78" s="10">
        <f ca="1">IFERROR(__xludf.DUMMYFUNCTION("""COMPUTED_VALUE"""),13)</f>
        <v>13</v>
      </c>
      <c r="G78" s="10">
        <f ca="1">IFERROR(__xludf.DUMMYFUNCTION("""COMPUTED_VALUE"""),147)</f>
        <v>147</v>
      </c>
      <c r="H78" s="10">
        <f ca="1">IFERROR(__xludf.DUMMYFUNCTION("""COMPUTED_VALUE"""),128)</f>
        <v>128</v>
      </c>
    </row>
    <row r="79" spans="1:8">
      <c r="A79" s="9">
        <f ca="1">IFERROR(__xludf.DUMMYFUNCTION("""COMPUTED_VALUE"""),14017)</f>
        <v>14017</v>
      </c>
      <c r="B79" s="10" t="str">
        <f ca="1">IFERROR(__xludf.DUMMYFUNCTION("""COMPUTED_VALUE"""),"Maddie Yellman")</f>
        <v>Maddie Yellman</v>
      </c>
      <c r="C79" s="10" t="str">
        <f ca="1">IFERROR(__xludf.DUMMYFUNCTION("""COMPUTED_VALUE"""),"McCallum High School")</f>
        <v>McCallum High School</v>
      </c>
      <c r="D79" s="10" t="str">
        <f ca="1">IFERROR(__xludf.DUMMYFUNCTION("""COMPUTED_VALUE"""),"HS")</f>
        <v>HS</v>
      </c>
      <c r="E79" s="10">
        <f ca="1">IFERROR(__xludf.DUMMYFUNCTION("""COMPUTED_VALUE"""),278)</f>
        <v>278</v>
      </c>
      <c r="F79" s="10">
        <f ca="1">IFERROR(__xludf.DUMMYFUNCTION("""COMPUTED_VALUE"""),14)</f>
        <v>14</v>
      </c>
      <c r="G79" s="10">
        <f ca="1">IFERROR(__xludf.DUMMYFUNCTION("""COMPUTED_VALUE"""),142)</f>
        <v>142</v>
      </c>
      <c r="H79" s="10">
        <f ca="1">IFERROR(__xludf.DUMMYFUNCTION("""COMPUTED_VALUE"""),136)</f>
        <v>136</v>
      </c>
    </row>
    <row r="80" spans="1:8">
      <c r="A80" s="9">
        <f ca="1">IFERROR(__xludf.DUMMYFUNCTION("""COMPUTED_VALUE"""),14019)</f>
        <v>14019</v>
      </c>
      <c r="B80" s="10" t="str">
        <f ca="1">IFERROR(__xludf.DUMMYFUNCTION("""COMPUTED_VALUE"""),"Matthew McCabe")</f>
        <v>Matthew McCabe</v>
      </c>
      <c r="C80" s="10" t="str">
        <f ca="1">IFERROR(__xludf.DUMMYFUNCTION("""COMPUTED_VALUE"""),"McCallum High School")</f>
        <v>McCallum High School</v>
      </c>
      <c r="D80" s="10" t="str">
        <f ca="1">IFERROR(__xludf.DUMMYFUNCTION("""COMPUTED_VALUE"""),"HS")</f>
        <v>HS</v>
      </c>
      <c r="E80" s="10">
        <f ca="1">IFERROR(__xludf.DUMMYFUNCTION("""COMPUTED_VALUE"""),238)</f>
        <v>238</v>
      </c>
      <c r="F80" s="10">
        <f ca="1">IFERROR(__xludf.DUMMYFUNCTION("""COMPUTED_VALUE"""),7)</f>
        <v>7</v>
      </c>
      <c r="G80" s="10">
        <f ca="1">IFERROR(__xludf.DUMMYFUNCTION("""COMPUTED_VALUE"""),129)</f>
        <v>129</v>
      </c>
      <c r="H80" s="10">
        <f ca="1">IFERROR(__xludf.DUMMYFUNCTION("""COMPUTED_VALUE"""),109)</f>
        <v>109</v>
      </c>
    </row>
    <row r="81" spans="1:8">
      <c r="A81" s="9">
        <f ca="1">IFERROR(__xludf.DUMMYFUNCTION("""COMPUTED_VALUE"""),14020)</f>
        <v>14020</v>
      </c>
      <c r="B81" s="10" t="str">
        <f ca="1">IFERROR(__xludf.DUMMYFUNCTION("""COMPUTED_VALUE"""),"Melea Carman")</f>
        <v>Melea Carman</v>
      </c>
      <c r="C81" s="10" t="str">
        <f ca="1">IFERROR(__xludf.DUMMYFUNCTION("""COMPUTED_VALUE"""),"McCallum High School")</f>
        <v>McCallum High School</v>
      </c>
      <c r="D81" s="10" t="str">
        <f ca="1">IFERROR(__xludf.DUMMYFUNCTION("""COMPUTED_VALUE"""),"HS")</f>
        <v>HS</v>
      </c>
      <c r="E81" s="10" t="str">
        <f ca="1">IFERROR(__xludf.DUMMYFUNCTION("""COMPUTED_VALUE"""),"Posting")</f>
        <v>Posting</v>
      </c>
      <c r="F81" s="10" t="str">
        <f ca="1">IFERROR(__xludf.DUMMYFUNCTION("""COMPUTED_VALUE"""),"Posting")</f>
        <v>Posting</v>
      </c>
      <c r="G81" s="10" t="str">
        <f ca="1">IFERROR(__xludf.DUMMYFUNCTION("""COMPUTED_VALUE"""),"Posting")</f>
        <v>Posting</v>
      </c>
      <c r="H81" s="10" t="str">
        <f ca="1">IFERROR(__xludf.DUMMYFUNCTION("""COMPUTED_VALUE"""),"Posting")</f>
        <v>Posting</v>
      </c>
    </row>
    <row r="82" spans="1:8">
      <c r="A82" s="9">
        <f ca="1">IFERROR(__xludf.DUMMYFUNCTION("""COMPUTED_VALUE"""),14021)</f>
        <v>14021</v>
      </c>
      <c r="B82" s="10" t="str">
        <f ca="1">IFERROR(__xludf.DUMMYFUNCTION("""COMPUTED_VALUE"""),"Nico Volluz")</f>
        <v>Nico Volluz</v>
      </c>
      <c r="C82" s="10" t="str">
        <f ca="1">IFERROR(__xludf.DUMMYFUNCTION("""COMPUTED_VALUE"""),"McCallum High School")</f>
        <v>McCallum High School</v>
      </c>
      <c r="D82" s="10" t="str">
        <f ca="1">IFERROR(__xludf.DUMMYFUNCTION("""COMPUTED_VALUE"""),"HS")</f>
        <v>HS</v>
      </c>
      <c r="E82" s="10">
        <f ca="1">IFERROR(__xludf.DUMMYFUNCTION("""COMPUTED_VALUE"""),272)</f>
        <v>272</v>
      </c>
      <c r="F82" s="10">
        <f ca="1">IFERROR(__xludf.DUMMYFUNCTION("""COMPUTED_VALUE"""),10)</f>
        <v>10</v>
      </c>
      <c r="G82" s="10">
        <f ca="1">IFERROR(__xludf.DUMMYFUNCTION("""COMPUTED_VALUE"""),140)</f>
        <v>140</v>
      </c>
      <c r="H82" s="10">
        <f ca="1">IFERROR(__xludf.DUMMYFUNCTION("""COMPUTED_VALUE"""),132)</f>
        <v>132</v>
      </c>
    </row>
    <row r="83" spans="1:8">
      <c r="A83" s="9">
        <f ca="1">IFERROR(__xludf.DUMMYFUNCTION("""COMPUTED_VALUE"""),14022)</f>
        <v>14022</v>
      </c>
      <c r="B83" s="10" t="str">
        <f ca="1">IFERROR(__xludf.DUMMYFUNCTION("""COMPUTED_VALUE"""),"Niko Vega")</f>
        <v>Niko Vega</v>
      </c>
      <c r="C83" s="10" t="str">
        <f ca="1">IFERROR(__xludf.DUMMYFUNCTION("""COMPUTED_VALUE"""),"McCallum High School")</f>
        <v>McCallum High School</v>
      </c>
      <c r="D83" s="10" t="str">
        <f ca="1">IFERROR(__xludf.DUMMYFUNCTION("""COMPUTED_VALUE"""),"HS")</f>
        <v>HS</v>
      </c>
      <c r="E83" s="10">
        <f ca="1">IFERROR(__xludf.DUMMYFUNCTION("""COMPUTED_VALUE"""),239)</f>
        <v>239</v>
      </c>
      <c r="F83" s="10">
        <f ca="1">IFERROR(__xludf.DUMMYFUNCTION("""COMPUTED_VALUE"""),2)</f>
        <v>2</v>
      </c>
      <c r="G83" s="10">
        <f ca="1">IFERROR(__xludf.DUMMYFUNCTION("""COMPUTED_VALUE"""),123)</f>
        <v>123</v>
      </c>
      <c r="H83" s="10">
        <f ca="1">IFERROR(__xludf.DUMMYFUNCTION("""COMPUTED_VALUE"""),116)</f>
        <v>116</v>
      </c>
    </row>
    <row r="84" spans="1:8">
      <c r="A84" s="9">
        <f ca="1">IFERROR(__xludf.DUMMYFUNCTION("""COMPUTED_VALUE"""),14023)</f>
        <v>14023</v>
      </c>
      <c r="B84" s="10" t="str">
        <f ca="1">IFERROR(__xludf.DUMMYFUNCTION("""COMPUTED_VALUE"""),"Oliver Young")</f>
        <v>Oliver Young</v>
      </c>
      <c r="C84" s="10" t="str">
        <f ca="1">IFERROR(__xludf.DUMMYFUNCTION("""COMPUTED_VALUE"""),"McCallum High School")</f>
        <v>McCallum High School</v>
      </c>
      <c r="D84" s="10" t="str">
        <f ca="1">IFERROR(__xludf.DUMMYFUNCTION("""COMPUTED_VALUE"""),"HS")</f>
        <v>HS</v>
      </c>
      <c r="E84" s="10">
        <f ca="1">IFERROR(__xludf.DUMMYFUNCTION("""COMPUTED_VALUE"""),230)</f>
        <v>230</v>
      </c>
      <c r="F84" s="10">
        <f ca="1">IFERROR(__xludf.DUMMYFUNCTION("""COMPUTED_VALUE"""),3)</f>
        <v>3</v>
      </c>
      <c r="G84" s="10">
        <f ca="1">IFERROR(__xludf.DUMMYFUNCTION("""COMPUTED_VALUE"""),124)</f>
        <v>124</v>
      </c>
      <c r="H84" s="10">
        <f ca="1">IFERROR(__xludf.DUMMYFUNCTION("""COMPUTED_VALUE"""),106)</f>
        <v>106</v>
      </c>
    </row>
    <row r="85" spans="1:8">
      <c r="A85" s="9">
        <f ca="1">IFERROR(__xludf.DUMMYFUNCTION("""COMPUTED_VALUE"""),14024)</f>
        <v>14024</v>
      </c>
      <c r="B85" s="10" t="str">
        <f ca="1">IFERROR(__xludf.DUMMYFUNCTION("""COMPUTED_VALUE"""),"Oscar Busch")</f>
        <v>Oscar Busch</v>
      </c>
      <c r="C85" s="10" t="str">
        <f ca="1">IFERROR(__xludf.DUMMYFUNCTION("""COMPUTED_VALUE"""),"McCallum High School")</f>
        <v>McCallum High School</v>
      </c>
      <c r="D85" s="10" t="str">
        <f ca="1">IFERROR(__xludf.DUMMYFUNCTION("""COMPUTED_VALUE"""),"HS")</f>
        <v>HS</v>
      </c>
      <c r="E85" s="10">
        <f ca="1">IFERROR(__xludf.DUMMYFUNCTION("""COMPUTED_VALUE"""),269)</f>
        <v>269</v>
      </c>
      <c r="F85" s="10">
        <f ca="1">IFERROR(__xludf.DUMMYFUNCTION("""COMPUTED_VALUE"""),8)</f>
        <v>8</v>
      </c>
      <c r="G85" s="10">
        <f ca="1">IFERROR(__xludf.DUMMYFUNCTION("""COMPUTED_VALUE"""),136)</f>
        <v>136</v>
      </c>
      <c r="H85" s="10">
        <f ca="1">IFERROR(__xludf.DUMMYFUNCTION("""COMPUTED_VALUE"""),133)</f>
        <v>133</v>
      </c>
    </row>
    <row r="86" spans="1:8">
      <c r="A86" s="9">
        <f ca="1">IFERROR(__xludf.DUMMYFUNCTION("""COMPUTED_VALUE"""),14025)</f>
        <v>14025</v>
      </c>
      <c r="B86" s="10" t="str">
        <f ca="1">IFERROR(__xludf.DUMMYFUNCTION("""COMPUTED_VALUE"""),"Parker Gould")</f>
        <v>Parker Gould</v>
      </c>
      <c r="C86" s="10" t="str">
        <f ca="1">IFERROR(__xludf.DUMMYFUNCTION("""COMPUTED_VALUE"""),"McCallum High School")</f>
        <v>McCallum High School</v>
      </c>
      <c r="D86" s="10" t="str">
        <f ca="1">IFERROR(__xludf.DUMMYFUNCTION("""COMPUTED_VALUE"""),"HS")</f>
        <v>HS</v>
      </c>
      <c r="E86" s="10">
        <f ca="1">IFERROR(__xludf.DUMMYFUNCTION("""COMPUTED_VALUE"""),272)</f>
        <v>272</v>
      </c>
      <c r="F86" s="10">
        <f ca="1">IFERROR(__xludf.DUMMYFUNCTION("""COMPUTED_VALUE"""),12)</f>
        <v>12</v>
      </c>
      <c r="G86" s="10">
        <f ca="1">IFERROR(__xludf.DUMMYFUNCTION("""COMPUTED_VALUE"""),141)</f>
        <v>141</v>
      </c>
      <c r="H86" s="10">
        <f ca="1">IFERROR(__xludf.DUMMYFUNCTION("""COMPUTED_VALUE"""),131)</f>
        <v>131</v>
      </c>
    </row>
    <row r="87" spans="1:8">
      <c r="A87" s="9">
        <f ca="1">IFERROR(__xludf.DUMMYFUNCTION("""COMPUTED_VALUE"""),14026)</f>
        <v>14026</v>
      </c>
      <c r="B87" s="10" t="str">
        <f ca="1">IFERROR(__xludf.DUMMYFUNCTION("""COMPUTED_VALUE"""),"Penelope Conner")</f>
        <v>Penelope Conner</v>
      </c>
      <c r="C87" s="10" t="str">
        <f ca="1">IFERROR(__xludf.DUMMYFUNCTION("""COMPUTED_VALUE"""),"McCallum High School")</f>
        <v>McCallum High School</v>
      </c>
      <c r="D87" s="10" t="str">
        <f ca="1">IFERROR(__xludf.DUMMYFUNCTION("""COMPUTED_VALUE"""),"HS")</f>
        <v>HS</v>
      </c>
      <c r="E87" s="10">
        <f ca="1">IFERROR(__xludf.DUMMYFUNCTION("""COMPUTED_VALUE"""),273)</f>
        <v>273</v>
      </c>
      <c r="F87" s="10">
        <f ca="1">IFERROR(__xludf.DUMMYFUNCTION("""COMPUTED_VALUE"""),11)</f>
        <v>11</v>
      </c>
      <c r="G87" s="10">
        <f ca="1">IFERROR(__xludf.DUMMYFUNCTION("""COMPUTED_VALUE"""),143)</f>
        <v>143</v>
      </c>
      <c r="H87" s="10">
        <f ca="1">IFERROR(__xludf.DUMMYFUNCTION("""COMPUTED_VALUE"""),130)</f>
        <v>130</v>
      </c>
    </row>
    <row r="88" spans="1:8">
      <c r="A88" s="9">
        <f ca="1">IFERROR(__xludf.DUMMYFUNCTION("""COMPUTED_VALUE"""),14027)</f>
        <v>14027</v>
      </c>
      <c r="B88" s="10" t="str">
        <f ca="1">IFERROR(__xludf.DUMMYFUNCTION("""COMPUTED_VALUE"""),"Reed Davis")</f>
        <v>Reed Davis</v>
      </c>
      <c r="C88" s="10" t="str">
        <f ca="1">IFERROR(__xludf.DUMMYFUNCTION("""COMPUTED_VALUE"""),"McCallum High School")</f>
        <v>McCallum High School</v>
      </c>
      <c r="D88" s="10" t="str">
        <f ca="1">IFERROR(__xludf.DUMMYFUNCTION("""COMPUTED_VALUE"""),"HS")</f>
        <v>HS</v>
      </c>
      <c r="E88" s="10">
        <f ca="1">IFERROR(__xludf.DUMMYFUNCTION("""COMPUTED_VALUE"""),231)</f>
        <v>231</v>
      </c>
      <c r="F88" s="10">
        <f ca="1">IFERROR(__xludf.DUMMYFUNCTION("""COMPUTED_VALUE"""),6)</f>
        <v>6</v>
      </c>
      <c r="G88" s="10">
        <f ca="1">IFERROR(__xludf.DUMMYFUNCTION("""COMPUTED_VALUE"""),123)</f>
        <v>123</v>
      </c>
      <c r="H88" s="10">
        <f ca="1">IFERROR(__xludf.DUMMYFUNCTION("""COMPUTED_VALUE"""),108)</f>
        <v>108</v>
      </c>
    </row>
    <row r="89" spans="1:8">
      <c r="A89" s="9">
        <f ca="1">IFERROR(__xludf.DUMMYFUNCTION("""COMPUTED_VALUE"""),14028)</f>
        <v>14028</v>
      </c>
      <c r="B89" s="10" t="str">
        <f ca="1">IFERROR(__xludf.DUMMYFUNCTION("""COMPUTED_VALUE"""),"Roane Heining")</f>
        <v>Roane Heining</v>
      </c>
      <c r="C89" s="10" t="str">
        <f ca="1">IFERROR(__xludf.DUMMYFUNCTION("""COMPUTED_VALUE"""),"McCallum High School")</f>
        <v>McCallum High School</v>
      </c>
      <c r="D89" s="10" t="str">
        <f ca="1">IFERROR(__xludf.DUMMYFUNCTION("""COMPUTED_VALUE"""),"HS")</f>
        <v>HS</v>
      </c>
      <c r="E89" s="10">
        <f ca="1">IFERROR(__xludf.DUMMYFUNCTION("""COMPUTED_VALUE"""),229)</f>
        <v>229</v>
      </c>
      <c r="F89" s="10">
        <f ca="1">IFERROR(__xludf.DUMMYFUNCTION("""COMPUTED_VALUE"""),2)</f>
        <v>2</v>
      </c>
      <c r="G89" s="10">
        <f ca="1">IFERROR(__xludf.DUMMYFUNCTION("""COMPUTED_VALUE"""),108)</f>
        <v>108</v>
      </c>
      <c r="H89" s="10">
        <f ca="1">IFERROR(__xludf.DUMMYFUNCTION("""COMPUTED_VALUE"""),121)</f>
        <v>121</v>
      </c>
    </row>
    <row r="90" spans="1:8">
      <c r="A90" s="9">
        <f ca="1">IFERROR(__xludf.DUMMYFUNCTION("""COMPUTED_VALUE"""),14029)</f>
        <v>14029</v>
      </c>
      <c r="B90" s="10" t="str">
        <f ca="1">IFERROR(__xludf.DUMMYFUNCTION("""COMPUTED_VALUE"""),"Sam archer")</f>
        <v>Sam archer</v>
      </c>
      <c r="C90" s="10" t="str">
        <f ca="1">IFERROR(__xludf.DUMMYFUNCTION("""COMPUTED_VALUE"""),"McCallum High School")</f>
        <v>McCallum High School</v>
      </c>
      <c r="D90" s="10" t="str">
        <f ca="1">IFERROR(__xludf.DUMMYFUNCTION("""COMPUTED_VALUE"""),"HS")</f>
        <v>HS</v>
      </c>
      <c r="E90" s="10">
        <f ca="1">IFERROR(__xludf.DUMMYFUNCTION("""COMPUTED_VALUE"""),268)</f>
        <v>268</v>
      </c>
      <c r="F90" s="10">
        <f ca="1">IFERROR(__xludf.DUMMYFUNCTION("""COMPUTED_VALUE"""),8)</f>
        <v>8</v>
      </c>
      <c r="G90" s="10">
        <f ca="1">IFERROR(__xludf.DUMMYFUNCTION("""COMPUTED_VALUE"""),136)</f>
        <v>136</v>
      </c>
      <c r="H90" s="10">
        <f ca="1">IFERROR(__xludf.DUMMYFUNCTION("""COMPUTED_VALUE"""),132)</f>
        <v>132</v>
      </c>
    </row>
    <row r="91" spans="1:8">
      <c r="A91" s="9">
        <f ca="1">IFERROR(__xludf.DUMMYFUNCTION("""COMPUTED_VALUE"""),14030)</f>
        <v>14030</v>
      </c>
      <c r="B91" s="10" t="str">
        <f ca="1">IFERROR(__xludf.DUMMYFUNCTION("""COMPUTED_VALUE"""),"Sean sander")</f>
        <v>Sean sander</v>
      </c>
      <c r="C91" s="10" t="str">
        <f ca="1">IFERROR(__xludf.DUMMYFUNCTION("""COMPUTED_VALUE"""),"McCallum High School")</f>
        <v>McCallum High School</v>
      </c>
      <c r="D91" s="10" t="str">
        <f ca="1">IFERROR(__xludf.DUMMYFUNCTION("""COMPUTED_VALUE"""),"HS")</f>
        <v>HS</v>
      </c>
      <c r="E91" s="10">
        <f ca="1">IFERROR(__xludf.DUMMYFUNCTION("""COMPUTED_VALUE"""),247)</f>
        <v>247</v>
      </c>
      <c r="F91" s="10">
        <f ca="1">IFERROR(__xludf.DUMMYFUNCTION("""COMPUTED_VALUE"""),5)</f>
        <v>5</v>
      </c>
      <c r="G91" s="10">
        <f ca="1">IFERROR(__xludf.DUMMYFUNCTION("""COMPUTED_VALUE"""),126)</f>
        <v>126</v>
      </c>
      <c r="H91" s="10">
        <f ca="1">IFERROR(__xludf.DUMMYFUNCTION("""COMPUTED_VALUE"""),121)</f>
        <v>121</v>
      </c>
    </row>
    <row r="92" spans="1:8">
      <c r="A92" s="9">
        <f ca="1">IFERROR(__xludf.DUMMYFUNCTION("""COMPUTED_VALUE"""),14031)</f>
        <v>14031</v>
      </c>
      <c r="B92" s="10" t="str">
        <f ca="1">IFERROR(__xludf.DUMMYFUNCTION("""COMPUTED_VALUE"""),"Sofia Pedregon Harrington")</f>
        <v>Sofia Pedregon Harrington</v>
      </c>
      <c r="C92" s="10" t="str">
        <f ca="1">IFERROR(__xludf.DUMMYFUNCTION("""COMPUTED_VALUE"""),"McCallum High School")</f>
        <v>McCallum High School</v>
      </c>
      <c r="D92" s="10" t="str">
        <f ca="1">IFERROR(__xludf.DUMMYFUNCTION("""COMPUTED_VALUE"""),"HS")</f>
        <v>HS</v>
      </c>
      <c r="E92" s="10">
        <f ca="1">IFERROR(__xludf.DUMMYFUNCTION("""COMPUTED_VALUE"""),285)</f>
        <v>285</v>
      </c>
      <c r="F92" s="10">
        <f ca="1">IFERROR(__xludf.DUMMYFUNCTION("""COMPUTED_VALUE"""),17)</f>
        <v>17</v>
      </c>
      <c r="G92" s="10">
        <f ca="1">IFERROR(__xludf.DUMMYFUNCTION("""COMPUTED_VALUE"""),144)</f>
        <v>144</v>
      </c>
      <c r="H92" s="10">
        <f ca="1">IFERROR(__xludf.DUMMYFUNCTION("""COMPUTED_VALUE"""),141)</f>
        <v>141</v>
      </c>
    </row>
    <row r="93" spans="1:8">
      <c r="A93" s="9">
        <f ca="1">IFERROR(__xludf.DUMMYFUNCTION("""COMPUTED_VALUE"""),14032)</f>
        <v>14032</v>
      </c>
      <c r="B93" s="10" t="str">
        <f ca="1">IFERROR(__xludf.DUMMYFUNCTION("""COMPUTED_VALUE"""),"Sophia Escamilla")</f>
        <v>Sophia Escamilla</v>
      </c>
      <c r="C93" s="10" t="str">
        <f ca="1">IFERROR(__xludf.DUMMYFUNCTION("""COMPUTED_VALUE"""),"McCallum High School")</f>
        <v>McCallum High School</v>
      </c>
      <c r="D93" s="10" t="str">
        <f ca="1">IFERROR(__xludf.DUMMYFUNCTION("""COMPUTED_VALUE"""),"HS")</f>
        <v>HS</v>
      </c>
      <c r="E93" s="10">
        <f ca="1">IFERROR(__xludf.DUMMYFUNCTION("""COMPUTED_VALUE"""),218)</f>
        <v>218</v>
      </c>
      <c r="F93" s="10">
        <f ca="1">IFERROR(__xludf.DUMMYFUNCTION("""COMPUTED_VALUE"""),4)</f>
        <v>4</v>
      </c>
      <c r="G93" s="10">
        <f ca="1">IFERROR(__xludf.DUMMYFUNCTION("""COMPUTED_VALUE"""),109)</f>
        <v>109</v>
      </c>
      <c r="H93" s="10">
        <f ca="1">IFERROR(__xludf.DUMMYFUNCTION("""COMPUTED_VALUE"""),109)</f>
        <v>109</v>
      </c>
    </row>
    <row r="94" spans="1:8">
      <c r="A94" s="9">
        <f ca="1">IFERROR(__xludf.DUMMYFUNCTION("""COMPUTED_VALUE"""),14033)</f>
        <v>14033</v>
      </c>
      <c r="B94" s="10" t="str">
        <f ca="1">IFERROR(__xludf.DUMMYFUNCTION("""COMPUTED_VALUE"""),"Will Swan")</f>
        <v>Will Swan</v>
      </c>
      <c r="C94" s="10" t="str">
        <f ca="1">IFERROR(__xludf.DUMMYFUNCTION("""COMPUTED_VALUE"""),"McCallum High School")</f>
        <v>McCallum High School</v>
      </c>
      <c r="D94" s="10" t="str">
        <f ca="1">IFERROR(__xludf.DUMMYFUNCTION("""COMPUTED_VALUE"""),"HS")</f>
        <v>HS</v>
      </c>
      <c r="E94" s="10">
        <f ca="1">IFERROR(__xludf.DUMMYFUNCTION("""COMPUTED_VALUE"""),231)</f>
        <v>231</v>
      </c>
      <c r="F94" s="10">
        <f ca="1">IFERROR(__xludf.DUMMYFUNCTION("""COMPUTED_VALUE"""),1)</f>
        <v>1</v>
      </c>
      <c r="G94" s="10">
        <f ca="1">IFERROR(__xludf.DUMMYFUNCTION("""COMPUTED_VALUE"""),117)</f>
        <v>117</v>
      </c>
      <c r="H94" s="10">
        <f ca="1">IFERROR(__xludf.DUMMYFUNCTION("""COMPUTED_VALUE"""),114)</f>
        <v>114</v>
      </c>
    </row>
    <row r="95" spans="1:8">
      <c r="A95" s="9">
        <f ca="1">IFERROR(__xludf.DUMMYFUNCTION("""COMPUTED_VALUE"""),14034)</f>
        <v>14034</v>
      </c>
      <c r="B95" s="10" t="str">
        <f ca="1">IFERROR(__xludf.DUMMYFUNCTION("""COMPUTED_VALUE"""),"Wren Griffis")</f>
        <v>Wren Griffis</v>
      </c>
      <c r="C95" s="10" t="str">
        <f ca="1">IFERROR(__xludf.DUMMYFUNCTION("""COMPUTED_VALUE"""),"McCallum High School")</f>
        <v>McCallum High School</v>
      </c>
      <c r="D95" s="10" t="str">
        <f ca="1">IFERROR(__xludf.DUMMYFUNCTION("""COMPUTED_VALUE"""),"HS")</f>
        <v>HS</v>
      </c>
      <c r="E95" s="10">
        <f ca="1">IFERROR(__xludf.DUMMYFUNCTION("""COMPUTED_VALUE"""),280)</f>
        <v>280</v>
      </c>
      <c r="F95" s="10">
        <f ca="1">IFERROR(__xludf.DUMMYFUNCTION("""COMPUTED_VALUE"""),16)</f>
        <v>16</v>
      </c>
      <c r="G95" s="10">
        <f ca="1">IFERROR(__xludf.DUMMYFUNCTION("""COMPUTED_VALUE"""),143)</f>
        <v>143</v>
      </c>
      <c r="H95" s="10">
        <f ca="1">IFERROR(__xludf.DUMMYFUNCTION("""COMPUTED_VALUE"""),137)</f>
        <v>137</v>
      </c>
    </row>
    <row r="96" spans="1:8">
      <c r="A96" s="9">
        <f ca="1">IFERROR(__xludf.DUMMYFUNCTION("""COMPUTED_VALUE"""),14035)</f>
        <v>14035</v>
      </c>
      <c r="B96" s="10" t="str">
        <f ca="1">IFERROR(__xludf.DUMMYFUNCTION("""COMPUTED_VALUE"""),"Wyatt Norman")</f>
        <v>Wyatt Norman</v>
      </c>
      <c r="C96" s="10" t="str">
        <f ca="1">IFERROR(__xludf.DUMMYFUNCTION("""COMPUTED_VALUE"""),"McCallum High School")</f>
        <v>McCallum High School</v>
      </c>
      <c r="D96" s="10" t="str">
        <f ca="1">IFERROR(__xludf.DUMMYFUNCTION("""COMPUTED_VALUE"""),"HS")</f>
        <v>HS</v>
      </c>
      <c r="E96" s="10">
        <f ca="1">IFERROR(__xludf.DUMMYFUNCTION("""COMPUTED_VALUE"""),248)</f>
        <v>248</v>
      </c>
      <c r="F96" s="10">
        <f ca="1">IFERROR(__xludf.DUMMYFUNCTION("""COMPUTED_VALUE"""),6)</f>
        <v>6</v>
      </c>
      <c r="G96" s="10">
        <f ca="1">IFERROR(__xludf.DUMMYFUNCTION("""COMPUTED_VALUE"""),127)</f>
        <v>127</v>
      </c>
      <c r="H96" s="10">
        <f ca="1">IFERROR(__xludf.DUMMYFUNCTION("""COMPUTED_VALUE"""),121)</f>
        <v>121</v>
      </c>
    </row>
    <row r="97" spans="1:8">
      <c r="A97" s="9">
        <f ca="1">IFERROR(__xludf.DUMMYFUNCTION("""COMPUTED_VALUE"""),15001)</f>
        <v>15001</v>
      </c>
      <c r="B97" s="10" t="str">
        <f ca="1">IFERROR(__xludf.DUMMYFUNCTION("""COMPUTED_VALUE"""),"Charles Tough")</f>
        <v>Charles Tough</v>
      </c>
      <c r="C97" s="10" t="str">
        <f ca="1">IFERROR(__xludf.DUMMYFUNCTION("""COMPUTED_VALUE"""),"St. Francis School")</f>
        <v>St. Francis School</v>
      </c>
      <c r="D97" s="10" t="str">
        <f ca="1">IFERROR(__xludf.DUMMYFUNCTION("""COMPUTED_VALUE"""),"ES")</f>
        <v>ES</v>
      </c>
      <c r="E97" s="10">
        <f ca="1">IFERROR(__xludf.DUMMYFUNCTION("""COMPUTED_VALUE"""),243)</f>
        <v>243</v>
      </c>
      <c r="F97" s="10">
        <f ca="1">IFERROR(__xludf.DUMMYFUNCTION("""COMPUTED_VALUE"""),4)</f>
        <v>4</v>
      </c>
      <c r="G97" s="10">
        <f ca="1">IFERROR(__xludf.DUMMYFUNCTION("""COMPUTED_VALUE"""),129)</f>
        <v>129</v>
      </c>
      <c r="H97" s="10">
        <f ca="1">IFERROR(__xludf.DUMMYFUNCTION("""COMPUTED_VALUE"""),114)</f>
        <v>114</v>
      </c>
    </row>
    <row r="98" spans="1:8">
      <c r="A98" s="9">
        <f ca="1">IFERROR(__xludf.DUMMYFUNCTION("""COMPUTED_VALUE"""),15002)</f>
        <v>15002</v>
      </c>
      <c r="B98" s="10" t="str">
        <f ca="1">IFERROR(__xludf.DUMMYFUNCTION("""COMPUTED_VALUE"""),"Ella Porter")</f>
        <v>Ella Porter</v>
      </c>
      <c r="C98" s="10" t="str">
        <f ca="1">IFERROR(__xludf.DUMMYFUNCTION("""COMPUTED_VALUE"""),"St. Francis School")</f>
        <v>St. Francis School</v>
      </c>
      <c r="D98" s="10" t="str">
        <f ca="1">IFERROR(__xludf.DUMMYFUNCTION("""COMPUTED_VALUE"""),"MS")</f>
        <v>MS</v>
      </c>
      <c r="E98" s="10">
        <f ca="1">IFERROR(__xludf.DUMMYFUNCTION("""COMPUTED_VALUE"""),234)</f>
        <v>234</v>
      </c>
      <c r="F98" s="10">
        <f ca="1">IFERROR(__xludf.DUMMYFUNCTION("""COMPUTED_VALUE"""),2)</f>
        <v>2</v>
      </c>
      <c r="G98" s="10">
        <f ca="1">IFERROR(__xludf.DUMMYFUNCTION("""COMPUTED_VALUE"""),128)</f>
        <v>128</v>
      </c>
      <c r="H98" s="10">
        <f ca="1">IFERROR(__xludf.DUMMYFUNCTION("""COMPUTED_VALUE"""),106)</f>
        <v>106</v>
      </c>
    </row>
    <row r="99" spans="1:8">
      <c r="A99" s="9">
        <f ca="1">IFERROR(__xludf.DUMMYFUNCTION("""COMPUTED_VALUE"""),15003)</f>
        <v>15003</v>
      </c>
      <c r="B99" s="10" t="str">
        <f ca="1">IFERROR(__xludf.DUMMYFUNCTION("""COMPUTED_VALUE"""),"Kyril Hadzi-Antich")</f>
        <v>Kyril Hadzi-Antich</v>
      </c>
      <c r="C99" s="10" t="str">
        <f ca="1">IFERROR(__xludf.DUMMYFUNCTION("""COMPUTED_VALUE"""),"St. Francis School")</f>
        <v>St. Francis School</v>
      </c>
      <c r="D99" s="10" t="str">
        <f ca="1">IFERROR(__xludf.DUMMYFUNCTION("""COMPUTED_VALUE"""),"MS")</f>
        <v>MS</v>
      </c>
      <c r="E99" s="10">
        <f ca="1">IFERROR(__xludf.DUMMYFUNCTION("""COMPUTED_VALUE"""),257)</f>
        <v>257</v>
      </c>
      <c r="F99" s="10">
        <f ca="1">IFERROR(__xludf.DUMMYFUNCTION("""COMPUTED_VALUE"""),6)</f>
        <v>6</v>
      </c>
      <c r="G99" s="10">
        <f ca="1">IFERROR(__xludf.DUMMYFUNCTION("""COMPUTED_VALUE"""),134)</f>
        <v>134</v>
      </c>
      <c r="H99" s="10">
        <f ca="1">IFERROR(__xludf.DUMMYFUNCTION("""COMPUTED_VALUE"""),123)</f>
        <v>123</v>
      </c>
    </row>
    <row r="100" spans="1:8">
      <c r="A100" s="9">
        <f ca="1">IFERROR(__xludf.DUMMYFUNCTION("""COMPUTED_VALUE"""),15004)</f>
        <v>15004</v>
      </c>
      <c r="B100" s="10" t="str">
        <f ca="1">IFERROR(__xludf.DUMMYFUNCTION("""COMPUTED_VALUE"""),"Lottie Borer")</f>
        <v>Lottie Borer</v>
      </c>
      <c r="C100" s="10" t="str">
        <f ca="1">IFERROR(__xludf.DUMMYFUNCTION("""COMPUTED_VALUE"""),"St. Francis School")</f>
        <v>St. Francis School</v>
      </c>
      <c r="D100" s="10" t="str">
        <f ca="1">IFERROR(__xludf.DUMMYFUNCTION("""COMPUTED_VALUE"""),"MS")</f>
        <v>MS</v>
      </c>
      <c r="E100" s="10">
        <f ca="1">IFERROR(__xludf.DUMMYFUNCTION("""COMPUTED_VALUE"""),267)</f>
        <v>267</v>
      </c>
      <c r="F100" s="10">
        <f ca="1">IFERROR(__xludf.DUMMYFUNCTION("""COMPUTED_VALUE"""),5)</f>
        <v>5</v>
      </c>
      <c r="G100" s="10">
        <f ca="1">IFERROR(__xludf.DUMMYFUNCTION("""COMPUTED_VALUE"""),131)</f>
        <v>131</v>
      </c>
      <c r="H100" s="10">
        <f ca="1">IFERROR(__xludf.DUMMYFUNCTION("""COMPUTED_VALUE"""),136)</f>
        <v>136</v>
      </c>
    </row>
    <row r="101" spans="1:8">
      <c r="A101" s="9">
        <f ca="1">IFERROR(__xludf.DUMMYFUNCTION("""COMPUTED_VALUE"""),15006)</f>
        <v>15006</v>
      </c>
      <c r="B101" s="10" t="str">
        <f ca="1">IFERROR(__xludf.DUMMYFUNCTION("""COMPUTED_VALUE"""),"Sawyer Mendez")</f>
        <v>Sawyer Mendez</v>
      </c>
      <c r="C101" s="10" t="str">
        <f ca="1">IFERROR(__xludf.DUMMYFUNCTION("""COMPUTED_VALUE"""),"St. Francis School")</f>
        <v>St. Francis School</v>
      </c>
      <c r="D101" s="10" t="str">
        <f ca="1">IFERROR(__xludf.DUMMYFUNCTION("""COMPUTED_VALUE"""),"MS")</f>
        <v>MS</v>
      </c>
      <c r="E101" s="10">
        <f ca="1">IFERROR(__xludf.DUMMYFUNCTION("""COMPUTED_VALUE"""),160)</f>
        <v>160</v>
      </c>
      <c r="F101" s="10">
        <f ca="1">IFERROR(__xludf.DUMMYFUNCTION("""COMPUTED_VALUE"""),1)</f>
        <v>1</v>
      </c>
      <c r="G101" s="10">
        <f ca="1">IFERROR(__xludf.DUMMYFUNCTION("""COMPUTED_VALUE"""),98)</f>
        <v>98</v>
      </c>
      <c r="H101" s="10">
        <f ca="1">IFERROR(__xludf.DUMMYFUNCTION("""COMPUTED_VALUE"""),62)</f>
        <v>62</v>
      </c>
    </row>
    <row r="102" spans="1:8">
      <c r="A102" s="9">
        <f ca="1">IFERROR(__xludf.DUMMYFUNCTION("""COMPUTED_VALUE"""),15007)</f>
        <v>15007</v>
      </c>
      <c r="B102" s="10" t="str">
        <f ca="1">IFERROR(__xludf.DUMMYFUNCTION("""COMPUTED_VALUE"""),"Sydney Lucas")</f>
        <v>Sydney Lucas</v>
      </c>
      <c r="C102" s="10" t="str">
        <f ca="1">IFERROR(__xludf.DUMMYFUNCTION("""COMPUTED_VALUE"""),"St. Francis School")</f>
        <v>St. Francis School</v>
      </c>
      <c r="D102" s="10" t="str">
        <f ca="1">IFERROR(__xludf.DUMMYFUNCTION("""COMPUTED_VALUE"""),"MS")</f>
        <v>MS</v>
      </c>
      <c r="E102" s="10">
        <f ca="1">IFERROR(__xludf.DUMMYFUNCTION("""COMPUTED_VALUE"""),164)</f>
        <v>164</v>
      </c>
      <c r="F102" s="10">
        <f ca="1">IFERROR(__xludf.DUMMYFUNCTION("""COMPUTED_VALUE"""),1)</f>
        <v>1</v>
      </c>
      <c r="G102" s="10">
        <f ca="1">IFERROR(__xludf.DUMMYFUNCTION("""COMPUTED_VALUE"""),109)</f>
        <v>109</v>
      </c>
      <c r="H102" s="10">
        <f ca="1">IFERROR(__xludf.DUMMYFUNCTION("""COMPUTED_VALUE"""),55)</f>
        <v>55</v>
      </c>
    </row>
    <row r="103" spans="1:8">
      <c r="A103" s="9">
        <f ca="1">IFERROR(__xludf.DUMMYFUNCTION("""COMPUTED_VALUE"""),15008)</f>
        <v>15008</v>
      </c>
      <c r="B103" s="10" t="str">
        <f ca="1">IFERROR(__xludf.DUMMYFUNCTION("""COMPUTED_VALUE"""),"Truett Shaw")</f>
        <v>Truett Shaw</v>
      </c>
      <c r="C103" s="10" t="str">
        <f ca="1">IFERROR(__xludf.DUMMYFUNCTION("""COMPUTED_VALUE"""),"St. Francis School")</f>
        <v>St. Francis School</v>
      </c>
      <c r="D103" s="10" t="str">
        <f ca="1">IFERROR(__xludf.DUMMYFUNCTION("""COMPUTED_VALUE"""),"ES")</f>
        <v>ES</v>
      </c>
      <c r="E103" s="10">
        <f ca="1">IFERROR(__xludf.DUMMYFUNCTION("""COMPUTED_VALUE"""),271)</f>
        <v>271</v>
      </c>
      <c r="F103" s="10">
        <f ca="1">IFERROR(__xludf.DUMMYFUNCTION("""COMPUTED_VALUE"""),9)</f>
        <v>9</v>
      </c>
      <c r="G103" s="10">
        <f ca="1">IFERROR(__xludf.DUMMYFUNCTION("""COMPUTED_VALUE"""),140)</f>
        <v>140</v>
      </c>
      <c r="H103" s="10">
        <f ca="1">IFERROR(__xludf.DUMMYFUNCTION("""COMPUTED_VALUE"""),131)</f>
        <v>131</v>
      </c>
    </row>
    <row r="104" spans="1:8">
      <c r="A104" s="9">
        <f ca="1">IFERROR(__xludf.DUMMYFUNCTION("""COMPUTED_VALUE"""),20001)</f>
        <v>20001</v>
      </c>
      <c r="B104" s="10" t="str">
        <f ca="1">IFERROR(__xludf.DUMMYFUNCTION("""COMPUTED_VALUE"""),"Abigail Ramos")</f>
        <v>Abigail Ramos</v>
      </c>
      <c r="C104" s="10" t="str">
        <f ca="1">IFERROR(__xludf.DUMMYFUNCTION("""COMPUTED_VALUE"""),"ARS")</f>
        <v>ARS</v>
      </c>
      <c r="D104" s="10" t="str">
        <f ca="1">IFERROR(__xludf.DUMMYFUNCTION("""COMPUTED_VALUE"""),"MS")</f>
        <v>MS</v>
      </c>
      <c r="E104" s="10" t="str">
        <f ca="1">IFERROR(__xludf.DUMMYFUNCTION("""COMPUTED_VALUE"""),"Posting")</f>
        <v>Posting</v>
      </c>
      <c r="F104" s="10" t="str">
        <f ca="1">IFERROR(__xludf.DUMMYFUNCTION("""COMPUTED_VALUE"""),"Posting")</f>
        <v>Posting</v>
      </c>
      <c r="G104" s="10" t="str">
        <f ca="1">IFERROR(__xludf.DUMMYFUNCTION("""COMPUTED_VALUE"""),"Posting")</f>
        <v>Posting</v>
      </c>
      <c r="H104" s="10" t="str">
        <f ca="1">IFERROR(__xludf.DUMMYFUNCTION("""COMPUTED_VALUE"""),"Posting")</f>
        <v>Posting</v>
      </c>
    </row>
    <row r="105" spans="1:8">
      <c r="A105" s="9">
        <f ca="1">IFERROR(__xludf.DUMMYFUNCTION("""COMPUTED_VALUE"""),20002)</f>
        <v>20002</v>
      </c>
      <c r="B105" s="10" t="str">
        <f ca="1">IFERROR(__xludf.DUMMYFUNCTION("""COMPUTED_VALUE"""),"Alex Monahan")</f>
        <v>Alex Monahan</v>
      </c>
      <c r="C105" s="10" t="str">
        <f ca="1">IFERROR(__xludf.DUMMYFUNCTION("""COMPUTED_VALUE"""),"ARS")</f>
        <v>ARS</v>
      </c>
      <c r="D105" s="10" t="str">
        <f ca="1">IFERROR(__xludf.DUMMYFUNCTION("""COMPUTED_VALUE"""),"MS")</f>
        <v>MS</v>
      </c>
      <c r="E105" s="10">
        <f ca="1">IFERROR(__xludf.DUMMYFUNCTION("""COMPUTED_VALUE"""),219)</f>
        <v>219</v>
      </c>
      <c r="F105" s="10">
        <f ca="1">IFERROR(__xludf.DUMMYFUNCTION("""COMPUTED_VALUE"""),0)</f>
        <v>0</v>
      </c>
      <c r="G105" s="10">
        <f ca="1">IFERROR(__xludf.DUMMYFUNCTION("""COMPUTED_VALUE"""),123)</f>
        <v>123</v>
      </c>
      <c r="H105" s="10">
        <f ca="1">IFERROR(__xludf.DUMMYFUNCTION("""COMPUTED_VALUE"""),96)</f>
        <v>96</v>
      </c>
    </row>
    <row r="106" spans="1:8">
      <c r="A106" s="9">
        <f ca="1">IFERROR(__xludf.DUMMYFUNCTION("""COMPUTED_VALUE"""),20003)</f>
        <v>20003</v>
      </c>
      <c r="B106" s="10" t="str">
        <f ca="1">IFERROR(__xludf.DUMMYFUNCTION("""COMPUTED_VALUE"""),"Alicia Jayne")</f>
        <v>Alicia Jayne</v>
      </c>
      <c r="C106" s="10" t="str">
        <f ca="1">IFERROR(__xludf.DUMMYFUNCTION("""COMPUTED_VALUE"""),"ARS")</f>
        <v>ARS</v>
      </c>
      <c r="D106" s="10" t="str">
        <f ca="1">IFERROR(__xludf.DUMMYFUNCTION("""COMPUTED_VALUE"""),"MS")</f>
        <v>MS</v>
      </c>
      <c r="E106" s="10">
        <f ca="1">IFERROR(__xludf.DUMMYFUNCTION("""COMPUTED_VALUE"""),246)</f>
        <v>246</v>
      </c>
      <c r="F106" s="10">
        <f ca="1">IFERROR(__xludf.DUMMYFUNCTION("""COMPUTED_VALUE"""),4)</f>
        <v>4</v>
      </c>
      <c r="G106" s="10">
        <f ca="1">IFERROR(__xludf.DUMMYFUNCTION("""COMPUTED_VALUE"""),125)</f>
        <v>125</v>
      </c>
      <c r="H106" s="10">
        <f ca="1">IFERROR(__xludf.DUMMYFUNCTION("""COMPUTED_VALUE"""),121)</f>
        <v>121</v>
      </c>
    </row>
    <row r="107" spans="1:8">
      <c r="A107" s="9">
        <f ca="1">IFERROR(__xludf.DUMMYFUNCTION("""COMPUTED_VALUE"""),20004)</f>
        <v>20004</v>
      </c>
      <c r="B107" s="10" t="str">
        <f ca="1">IFERROR(__xludf.DUMMYFUNCTION("""COMPUTED_VALUE"""),"Amelia Forkosh")</f>
        <v>Amelia Forkosh</v>
      </c>
      <c r="C107" s="10" t="str">
        <f ca="1">IFERROR(__xludf.DUMMYFUNCTION("""COMPUTED_VALUE"""),"ARS")</f>
        <v>ARS</v>
      </c>
      <c r="D107" s="10" t="str">
        <f ca="1">IFERROR(__xludf.DUMMYFUNCTION("""COMPUTED_VALUE"""),"MS")</f>
        <v>MS</v>
      </c>
      <c r="E107" s="10">
        <f ca="1">IFERROR(__xludf.DUMMYFUNCTION("""COMPUTED_VALUE"""),239)</f>
        <v>239</v>
      </c>
      <c r="F107" s="10">
        <f ca="1">IFERROR(__xludf.DUMMYFUNCTION("""COMPUTED_VALUE"""),6)</f>
        <v>6</v>
      </c>
      <c r="G107" s="10">
        <f ca="1">IFERROR(__xludf.DUMMYFUNCTION("""COMPUTED_VALUE"""),127)</f>
        <v>127</v>
      </c>
      <c r="H107" s="10">
        <f ca="1">IFERROR(__xludf.DUMMYFUNCTION("""COMPUTED_VALUE"""),112)</f>
        <v>112</v>
      </c>
    </row>
    <row r="108" spans="1:8">
      <c r="A108" s="9">
        <f ca="1">IFERROR(__xludf.DUMMYFUNCTION("""COMPUTED_VALUE"""),20006)</f>
        <v>20006</v>
      </c>
      <c r="B108" s="10" t="str">
        <f ca="1">IFERROR(__xludf.DUMMYFUNCTION("""COMPUTED_VALUE"""),"Anika Manoj")</f>
        <v>Anika Manoj</v>
      </c>
      <c r="C108" s="10" t="str">
        <f ca="1">IFERROR(__xludf.DUMMYFUNCTION("""COMPUTED_VALUE"""),"ARS")</f>
        <v>ARS</v>
      </c>
      <c r="D108" s="10" t="str">
        <f ca="1">IFERROR(__xludf.DUMMYFUNCTION("""COMPUTED_VALUE"""),"HS")</f>
        <v>HS</v>
      </c>
      <c r="E108" s="10">
        <f ca="1">IFERROR(__xludf.DUMMYFUNCTION("""COMPUTED_VALUE"""),271)</f>
        <v>271</v>
      </c>
      <c r="F108" s="10">
        <f ca="1">IFERROR(__xludf.DUMMYFUNCTION("""COMPUTED_VALUE"""),12)</f>
        <v>12</v>
      </c>
      <c r="G108" s="10">
        <f ca="1">IFERROR(__xludf.DUMMYFUNCTION("""COMPUTED_VALUE"""),140)</f>
        <v>140</v>
      </c>
      <c r="H108" s="10">
        <f ca="1">IFERROR(__xludf.DUMMYFUNCTION("""COMPUTED_VALUE"""),131)</f>
        <v>131</v>
      </c>
    </row>
    <row r="109" spans="1:8">
      <c r="A109" s="9">
        <f ca="1">IFERROR(__xludf.DUMMYFUNCTION("""COMPUTED_VALUE"""),20007)</f>
        <v>20007</v>
      </c>
      <c r="B109" s="10" t="str">
        <f ca="1">IFERROR(__xludf.DUMMYFUNCTION("""COMPUTED_VALUE"""),"Anna Bentley")</f>
        <v>Anna Bentley</v>
      </c>
      <c r="C109" s="10" t="str">
        <f ca="1">IFERROR(__xludf.DUMMYFUNCTION("""COMPUTED_VALUE"""),"ARS")</f>
        <v>ARS</v>
      </c>
      <c r="D109" s="10" t="str">
        <f ca="1">IFERROR(__xludf.DUMMYFUNCTION("""COMPUTED_VALUE"""),"MS")</f>
        <v>MS</v>
      </c>
      <c r="E109" s="10">
        <f ca="1">IFERROR(__xludf.DUMMYFUNCTION("""COMPUTED_VALUE"""),207)</f>
        <v>207</v>
      </c>
      <c r="F109" s="10">
        <f ca="1">IFERROR(__xludf.DUMMYFUNCTION("""COMPUTED_VALUE"""),1)</f>
        <v>1</v>
      </c>
      <c r="G109" s="10">
        <f ca="1">IFERROR(__xludf.DUMMYFUNCTION("""COMPUTED_VALUE"""),115)</f>
        <v>115</v>
      </c>
      <c r="H109" s="10">
        <f ca="1">IFERROR(__xludf.DUMMYFUNCTION("""COMPUTED_VALUE"""),92)</f>
        <v>92</v>
      </c>
    </row>
    <row r="110" spans="1:8">
      <c r="A110" s="9">
        <f ca="1">IFERROR(__xludf.DUMMYFUNCTION("""COMPUTED_VALUE"""),20008)</f>
        <v>20008</v>
      </c>
      <c r="B110" s="10" t="str">
        <f ca="1">IFERROR(__xludf.DUMMYFUNCTION("""COMPUTED_VALUE"""),"Avery Dillingham")</f>
        <v>Avery Dillingham</v>
      </c>
      <c r="C110" s="10" t="str">
        <f ca="1">IFERROR(__xludf.DUMMYFUNCTION("""COMPUTED_VALUE"""),"ARS")</f>
        <v>ARS</v>
      </c>
      <c r="D110" s="10" t="str">
        <f ca="1">IFERROR(__xludf.DUMMYFUNCTION("""COMPUTED_VALUE"""),"MS")</f>
        <v>MS</v>
      </c>
      <c r="E110" s="10">
        <f ca="1">IFERROR(__xludf.DUMMYFUNCTION("""COMPUTED_VALUE"""),256)</f>
        <v>256</v>
      </c>
      <c r="F110" s="10">
        <f ca="1">IFERROR(__xludf.DUMMYFUNCTION("""COMPUTED_VALUE"""),6)</f>
        <v>6</v>
      </c>
      <c r="G110" s="10">
        <f ca="1">IFERROR(__xludf.DUMMYFUNCTION("""COMPUTED_VALUE"""),131)</f>
        <v>131</v>
      </c>
      <c r="H110" s="10">
        <f ca="1">IFERROR(__xludf.DUMMYFUNCTION("""COMPUTED_VALUE"""),125)</f>
        <v>125</v>
      </c>
    </row>
    <row r="111" spans="1:8">
      <c r="A111" s="9">
        <f ca="1">IFERROR(__xludf.DUMMYFUNCTION("""COMPUTED_VALUE"""),20009)</f>
        <v>20009</v>
      </c>
      <c r="B111" s="10" t="str">
        <f ca="1">IFERROR(__xludf.DUMMYFUNCTION("""COMPUTED_VALUE"""),"Ben Jeffery")</f>
        <v>Ben Jeffery</v>
      </c>
      <c r="C111" s="10" t="str">
        <f ca="1">IFERROR(__xludf.DUMMYFUNCTION("""COMPUTED_VALUE"""),"ARS")</f>
        <v>ARS</v>
      </c>
      <c r="D111" s="10" t="str">
        <f ca="1">IFERROR(__xludf.DUMMYFUNCTION("""COMPUTED_VALUE"""),"HS")</f>
        <v>HS</v>
      </c>
      <c r="E111" s="10">
        <f ca="1">IFERROR(__xludf.DUMMYFUNCTION("""COMPUTED_VALUE"""),256)</f>
        <v>256</v>
      </c>
      <c r="F111" s="10">
        <f ca="1">IFERROR(__xludf.DUMMYFUNCTION("""COMPUTED_VALUE"""),7)</f>
        <v>7</v>
      </c>
      <c r="G111" s="10">
        <f ca="1">IFERROR(__xludf.DUMMYFUNCTION("""COMPUTED_VALUE"""),131)</f>
        <v>131</v>
      </c>
      <c r="H111" s="10">
        <f ca="1">IFERROR(__xludf.DUMMYFUNCTION("""COMPUTED_VALUE"""),125)</f>
        <v>125</v>
      </c>
    </row>
    <row r="112" spans="1:8">
      <c r="A112" s="9">
        <f ca="1">IFERROR(__xludf.DUMMYFUNCTION("""COMPUTED_VALUE"""),20010)</f>
        <v>20010</v>
      </c>
      <c r="B112" s="10" t="str">
        <f ca="1">IFERROR(__xludf.DUMMYFUNCTION("""COMPUTED_VALUE"""),"Bonnie Wisrodt")</f>
        <v>Bonnie Wisrodt</v>
      </c>
      <c r="C112" s="10" t="str">
        <f ca="1">IFERROR(__xludf.DUMMYFUNCTION("""COMPUTED_VALUE"""),"ARS")</f>
        <v>ARS</v>
      </c>
      <c r="D112" s="10" t="str">
        <f ca="1">IFERROR(__xludf.DUMMYFUNCTION("""COMPUTED_VALUE"""),"MS")</f>
        <v>MS</v>
      </c>
      <c r="E112" s="10">
        <f ca="1">IFERROR(__xludf.DUMMYFUNCTION("""COMPUTED_VALUE"""),260)</f>
        <v>260</v>
      </c>
      <c r="F112" s="10">
        <f ca="1">IFERROR(__xludf.DUMMYFUNCTION("""COMPUTED_VALUE"""),7)</f>
        <v>7</v>
      </c>
      <c r="G112" s="10">
        <f ca="1">IFERROR(__xludf.DUMMYFUNCTION("""COMPUTED_VALUE"""),139)</f>
        <v>139</v>
      </c>
      <c r="H112" s="10">
        <f ca="1">IFERROR(__xludf.DUMMYFUNCTION("""COMPUTED_VALUE"""),121)</f>
        <v>121</v>
      </c>
    </row>
    <row r="113" spans="1:8">
      <c r="A113" s="9">
        <f ca="1">IFERROR(__xludf.DUMMYFUNCTION("""COMPUTED_VALUE"""),20011)</f>
        <v>20011</v>
      </c>
      <c r="B113" s="10" t="str">
        <f ca="1">IFERROR(__xludf.DUMMYFUNCTION("""COMPUTED_VALUE"""),"Camryn Conley")</f>
        <v>Camryn Conley</v>
      </c>
      <c r="C113" s="10" t="str">
        <f ca="1">IFERROR(__xludf.DUMMYFUNCTION("""COMPUTED_VALUE"""),"ARS")</f>
        <v>ARS</v>
      </c>
      <c r="D113" s="10" t="str">
        <f ca="1">IFERROR(__xludf.DUMMYFUNCTION("""COMPUTED_VALUE"""),"MS")</f>
        <v>MS</v>
      </c>
      <c r="E113" s="10">
        <f ca="1">IFERROR(__xludf.DUMMYFUNCTION("""COMPUTED_VALUE"""),278)</f>
        <v>278</v>
      </c>
      <c r="F113" s="10">
        <f ca="1">IFERROR(__xludf.DUMMYFUNCTION("""COMPUTED_VALUE"""),12)</f>
        <v>12</v>
      </c>
      <c r="G113" s="10">
        <f ca="1">IFERROR(__xludf.DUMMYFUNCTION("""COMPUTED_VALUE"""),143)</f>
        <v>143</v>
      </c>
      <c r="H113" s="10">
        <f ca="1">IFERROR(__xludf.DUMMYFUNCTION("""COMPUTED_VALUE"""),135)</f>
        <v>135</v>
      </c>
    </row>
    <row r="114" spans="1:8">
      <c r="A114" s="9">
        <f ca="1">IFERROR(__xludf.DUMMYFUNCTION("""COMPUTED_VALUE"""),20012)</f>
        <v>20012</v>
      </c>
      <c r="B114" s="10" t="str">
        <f ca="1">IFERROR(__xludf.DUMMYFUNCTION("""COMPUTED_VALUE"""),"Caroline Ornelas")</f>
        <v>Caroline Ornelas</v>
      </c>
      <c r="C114" s="10" t="str">
        <f ca="1">IFERROR(__xludf.DUMMYFUNCTION("""COMPUTED_VALUE"""),"Ann Richards School for Young Women Leaders")</f>
        <v>Ann Richards School for Young Women Leaders</v>
      </c>
      <c r="D114" s="10" t="str">
        <f ca="1">IFERROR(__xludf.DUMMYFUNCTION("""COMPUTED_VALUE"""),"MS")</f>
        <v>MS</v>
      </c>
      <c r="E114" s="10">
        <f ca="1">IFERROR(__xludf.DUMMYFUNCTION("""COMPUTED_VALUE"""),259)</f>
        <v>259</v>
      </c>
      <c r="F114" s="10">
        <f ca="1">IFERROR(__xludf.DUMMYFUNCTION("""COMPUTED_VALUE"""),4)</f>
        <v>4</v>
      </c>
      <c r="G114" s="10">
        <f ca="1">IFERROR(__xludf.DUMMYFUNCTION("""COMPUTED_VALUE"""),133)</f>
        <v>133</v>
      </c>
      <c r="H114" s="10">
        <f ca="1">IFERROR(__xludf.DUMMYFUNCTION("""COMPUTED_VALUE"""),126)</f>
        <v>126</v>
      </c>
    </row>
    <row r="115" spans="1:8">
      <c r="A115" s="9">
        <f ca="1">IFERROR(__xludf.DUMMYFUNCTION("""COMPUTED_VALUE"""),20013)</f>
        <v>20013</v>
      </c>
      <c r="B115" s="10" t="str">
        <f ca="1">IFERROR(__xludf.DUMMYFUNCTION("""COMPUTED_VALUE"""),"Ceci Napoles")</f>
        <v>Ceci Napoles</v>
      </c>
      <c r="C115" s="10" t="str">
        <f ca="1">IFERROR(__xludf.DUMMYFUNCTION("""COMPUTED_VALUE"""),"Ann Richards School for Young Women Leaders")</f>
        <v>Ann Richards School for Young Women Leaders</v>
      </c>
      <c r="D115" s="10" t="str">
        <f ca="1">IFERROR(__xludf.DUMMYFUNCTION("""COMPUTED_VALUE"""),"MS")</f>
        <v>MS</v>
      </c>
      <c r="E115" s="10">
        <f ca="1">IFERROR(__xludf.DUMMYFUNCTION("""COMPUTED_VALUE"""),236)</f>
        <v>236</v>
      </c>
      <c r="F115" s="10">
        <f ca="1">IFERROR(__xludf.DUMMYFUNCTION("""COMPUTED_VALUE"""),3)</f>
        <v>3</v>
      </c>
      <c r="G115" s="10">
        <f ca="1">IFERROR(__xludf.DUMMYFUNCTION("""COMPUTED_VALUE"""),132)</f>
        <v>132</v>
      </c>
      <c r="H115" s="10">
        <f ca="1">IFERROR(__xludf.DUMMYFUNCTION("""COMPUTED_VALUE"""),104)</f>
        <v>104</v>
      </c>
    </row>
    <row r="116" spans="1:8">
      <c r="A116" s="9">
        <f ca="1">IFERROR(__xludf.DUMMYFUNCTION("""COMPUTED_VALUE"""),20014)</f>
        <v>20014</v>
      </c>
      <c r="B116" s="10" t="str">
        <f ca="1">IFERROR(__xludf.DUMMYFUNCTION("""COMPUTED_VALUE"""),"Claire Flaherty")</f>
        <v>Claire Flaherty</v>
      </c>
      <c r="C116" s="10" t="str">
        <f ca="1">IFERROR(__xludf.DUMMYFUNCTION("""COMPUTED_VALUE"""),"ARS")</f>
        <v>ARS</v>
      </c>
      <c r="D116" s="10" t="str">
        <f ca="1">IFERROR(__xludf.DUMMYFUNCTION("""COMPUTED_VALUE"""),"MS")</f>
        <v>MS</v>
      </c>
      <c r="E116" s="10">
        <f ca="1">IFERROR(__xludf.DUMMYFUNCTION("""COMPUTED_VALUE"""),256)</f>
        <v>256</v>
      </c>
      <c r="F116" s="10">
        <f ca="1">IFERROR(__xludf.DUMMYFUNCTION("""COMPUTED_VALUE"""),7)</f>
        <v>7</v>
      </c>
      <c r="G116" s="10">
        <f ca="1">IFERROR(__xludf.DUMMYFUNCTION("""COMPUTED_VALUE"""),135)</f>
        <v>135</v>
      </c>
      <c r="H116" s="10">
        <f ca="1">IFERROR(__xludf.DUMMYFUNCTION("""COMPUTED_VALUE"""),121)</f>
        <v>121</v>
      </c>
    </row>
    <row r="117" spans="1:8">
      <c r="A117" s="9">
        <f ca="1">IFERROR(__xludf.DUMMYFUNCTION("""COMPUTED_VALUE"""),20015)</f>
        <v>20015</v>
      </c>
      <c r="B117" s="10" t="str">
        <f ca="1">IFERROR(__xludf.DUMMYFUNCTION("""COMPUTED_VALUE"""),"Clara Gibbs")</f>
        <v>Clara Gibbs</v>
      </c>
      <c r="C117" s="10" t="str">
        <f ca="1">IFERROR(__xludf.DUMMYFUNCTION("""COMPUTED_VALUE"""),"ARS")</f>
        <v>ARS</v>
      </c>
      <c r="D117" s="10" t="str">
        <f ca="1">IFERROR(__xludf.DUMMYFUNCTION("""COMPUTED_VALUE"""),"HS")</f>
        <v>HS</v>
      </c>
      <c r="E117" s="10">
        <f ca="1">IFERROR(__xludf.DUMMYFUNCTION("""COMPUTED_VALUE"""),226)</f>
        <v>226</v>
      </c>
      <c r="F117" s="10">
        <f ca="1">IFERROR(__xludf.DUMMYFUNCTION("""COMPUTED_VALUE"""),4)</f>
        <v>4</v>
      </c>
      <c r="G117" s="10">
        <f ca="1">IFERROR(__xludf.DUMMYFUNCTION("""COMPUTED_VALUE"""),131)</f>
        <v>131</v>
      </c>
      <c r="H117" s="10">
        <f ca="1">IFERROR(__xludf.DUMMYFUNCTION("""COMPUTED_VALUE"""),95)</f>
        <v>95</v>
      </c>
    </row>
    <row r="118" spans="1:8">
      <c r="A118" s="9">
        <f ca="1">IFERROR(__xludf.DUMMYFUNCTION("""COMPUTED_VALUE"""),20016)</f>
        <v>20016</v>
      </c>
      <c r="B118" s="10" t="str">
        <f ca="1">IFERROR(__xludf.DUMMYFUNCTION("""COMPUTED_VALUE"""),"Cooper Holiday")</f>
        <v>Cooper Holiday</v>
      </c>
      <c r="C118" s="10" t="str">
        <f ca="1">IFERROR(__xludf.DUMMYFUNCTION("""COMPUTED_VALUE"""),"ARS")</f>
        <v>ARS</v>
      </c>
      <c r="D118" s="10" t="str">
        <f ca="1">IFERROR(__xludf.DUMMYFUNCTION("""COMPUTED_VALUE"""),"MS")</f>
        <v>MS</v>
      </c>
      <c r="E118" s="10">
        <f ca="1">IFERROR(__xludf.DUMMYFUNCTION("""COMPUTED_VALUE"""),253)</f>
        <v>253</v>
      </c>
      <c r="F118" s="10">
        <f ca="1">IFERROR(__xludf.DUMMYFUNCTION("""COMPUTED_VALUE"""),6)</f>
        <v>6</v>
      </c>
      <c r="G118" s="10">
        <f ca="1">IFERROR(__xludf.DUMMYFUNCTION("""COMPUTED_VALUE"""),132)</f>
        <v>132</v>
      </c>
      <c r="H118" s="10">
        <f ca="1">IFERROR(__xludf.DUMMYFUNCTION("""COMPUTED_VALUE"""),121)</f>
        <v>121</v>
      </c>
    </row>
    <row r="119" spans="1:8">
      <c r="A119" s="9">
        <f ca="1">IFERROR(__xludf.DUMMYFUNCTION("""COMPUTED_VALUE"""),20017)</f>
        <v>20017</v>
      </c>
      <c r="B119" s="10" t="str">
        <f ca="1">IFERROR(__xludf.DUMMYFUNCTION("""COMPUTED_VALUE"""),"Dae DiNapoli")</f>
        <v>Dae DiNapoli</v>
      </c>
      <c r="C119" s="10" t="str">
        <f ca="1">IFERROR(__xludf.DUMMYFUNCTION("""COMPUTED_VALUE"""),"ARS")</f>
        <v>ARS</v>
      </c>
      <c r="D119" s="10" t="str">
        <f ca="1">IFERROR(__xludf.DUMMYFUNCTION("""COMPUTED_VALUE"""),"MS")</f>
        <v>MS</v>
      </c>
      <c r="E119" s="10">
        <f ca="1">IFERROR(__xludf.DUMMYFUNCTION("""COMPUTED_VALUE"""),227)</f>
        <v>227</v>
      </c>
      <c r="F119" s="10">
        <f ca="1">IFERROR(__xludf.DUMMYFUNCTION("""COMPUTED_VALUE"""),1)</f>
        <v>1</v>
      </c>
      <c r="G119" s="10">
        <f ca="1">IFERROR(__xludf.DUMMYFUNCTION("""COMPUTED_VALUE"""),123)</f>
        <v>123</v>
      </c>
      <c r="H119" s="10">
        <f ca="1">IFERROR(__xludf.DUMMYFUNCTION("""COMPUTED_VALUE"""),104)</f>
        <v>104</v>
      </c>
    </row>
    <row r="120" spans="1:8">
      <c r="A120" s="9">
        <f ca="1">IFERROR(__xludf.DUMMYFUNCTION("""COMPUTED_VALUE"""),20018)</f>
        <v>20018</v>
      </c>
      <c r="B120" s="10" t="str">
        <f ca="1">IFERROR(__xludf.DUMMYFUNCTION("""COMPUTED_VALUE"""),"Daniella Echartea")</f>
        <v>Daniella Echartea</v>
      </c>
      <c r="C120" s="10" t="str">
        <f ca="1">IFERROR(__xludf.DUMMYFUNCTION("""COMPUTED_VALUE"""),"ARS")</f>
        <v>ARS</v>
      </c>
      <c r="D120" s="10" t="str">
        <f ca="1">IFERROR(__xludf.DUMMYFUNCTION("""COMPUTED_VALUE"""),"MS")</f>
        <v>MS</v>
      </c>
      <c r="E120" s="10">
        <f ca="1">IFERROR(__xludf.DUMMYFUNCTION("""COMPUTED_VALUE"""),235)</f>
        <v>235</v>
      </c>
      <c r="F120" s="10">
        <f ca="1">IFERROR(__xludf.DUMMYFUNCTION("""COMPUTED_VALUE"""),5)</f>
        <v>5</v>
      </c>
      <c r="G120" s="10">
        <f ca="1">IFERROR(__xludf.DUMMYFUNCTION("""COMPUTED_VALUE"""),119)</f>
        <v>119</v>
      </c>
      <c r="H120" s="10">
        <f ca="1">IFERROR(__xludf.DUMMYFUNCTION("""COMPUTED_VALUE"""),116)</f>
        <v>116</v>
      </c>
    </row>
    <row r="121" spans="1:8">
      <c r="A121" s="9">
        <f ca="1">IFERROR(__xludf.DUMMYFUNCTION("""COMPUTED_VALUE"""),20019)</f>
        <v>20019</v>
      </c>
      <c r="B121" s="10" t="str">
        <f ca="1">IFERROR(__xludf.DUMMYFUNCTION("""COMPUTED_VALUE"""),"Dnyaneshwari Yawalkar")</f>
        <v>Dnyaneshwari Yawalkar</v>
      </c>
      <c r="C121" s="10" t="str">
        <f ca="1">IFERROR(__xludf.DUMMYFUNCTION("""COMPUTED_VALUE"""),"ARS")</f>
        <v>ARS</v>
      </c>
      <c r="D121" s="10" t="str">
        <f ca="1">IFERROR(__xludf.DUMMYFUNCTION("""COMPUTED_VALUE"""),"MS")</f>
        <v>MS</v>
      </c>
      <c r="E121" s="10">
        <f ca="1">IFERROR(__xludf.DUMMYFUNCTION("""COMPUTED_VALUE"""),266)</f>
        <v>266</v>
      </c>
      <c r="F121" s="10">
        <f ca="1">IFERROR(__xludf.DUMMYFUNCTION("""COMPUTED_VALUE"""),7)</f>
        <v>7</v>
      </c>
      <c r="G121" s="10">
        <f ca="1">IFERROR(__xludf.DUMMYFUNCTION("""COMPUTED_VALUE"""),130)</f>
        <v>130</v>
      </c>
      <c r="H121" s="10">
        <f ca="1">IFERROR(__xludf.DUMMYFUNCTION("""COMPUTED_VALUE"""),136)</f>
        <v>136</v>
      </c>
    </row>
    <row r="122" spans="1:8">
      <c r="A122" s="9">
        <f ca="1">IFERROR(__xludf.DUMMYFUNCTION("""COMPUTED_VALUE"""),20020)</f>
        <v>20020</v>
      </c>
      <c r="B122" s="10" t="str">
        <f ca="1">IFERROR(__xludf.DUMMYFUNCTION("""COMPUTED_VALUE"""),"Elissa Ulrich")</f>
        <v>Elissa Ulrich</v>
      </c>
      <c r="C122" s="10" t="str">
        <f ca="1">IFERROR(__xludf.DUMMYFUNCTION("""COMPUTED_VALUE"""),"ARS")</f>
        <v>ARS</v>
      </c>
      <c r="D122" s="10" t="str">
        <f ca="1">IFERROR(__xludf.DUMMYFUNCTION("""COMPUTED_VALUE"""),"HS")</f>
        <v>HS</v>
      </c>
      <c r="E122" s="10">
        <f ca="1">IFERROR(__xludf.DUMMYFUNCTION("""COMPUTED_VALUE"""),251)</f>
        <v>251</v>
      </c>
      <c r="F122" s="10">
        <f ca="1">IFERROR(__xludf.DUMMYFUNCTION("""COMPUTED_VALUE"""),6)</f>
        <v>6</v>
      </c>
      <c r="G122" s="10">
        <f ca="1">IFERROR(__xludf.DUMMYFUNCTION("""COMPUTED_VALUE"""),132)</f>
        <v>132</v>
      </c>
      <c r="H122" s="10">
        <f ca="1">IFERROR(__xludf.DUMMYFUNCTION("""COMPUTED_VALUE"""),119)</f>
        <v>119</v>
      </c>
    </row>
    <row r="123" spans="1:8">
      <c r="A123" s="9">
        <f ca="1">IFERROR(__xludf.DUMMYFUNCTION("""COMPUTED_VALUE"""),20021)</f>
        <v>20021</v>
      </c>
      <c r="B123" s="10" t="str">
        <f ca="1">IFERROR(__xludf.DUMMYFUNCTION("""COMPUTED_VALUE"""),"Ella Heimer")</f>
        <v>Ella Heimer</v>
      </c>
      <c r="C123" s="10" t="str">
        <f ca="1">IFERROR(__xludf.DUMMYFUNCTION("""COMPUTED_VALUE"""),"ARS")</f>
        <v>ARS</v>
      </c>
      <c r="D123" s="10" t="str">
        <f ca="1">IFERROR(__xludf.DUMMYFUNCTION("""COMPUTED_VALUE"""),"MS")</f>
        <v>MS</v>
      </c>
      <c r="E123" s="10" t="str">
        <f ca="1">IFERROR(__xludf.DUMMYFUNCTION("""COMPUTED_VALUE"""),"Posting")</f>
        <v>Posting</v>
      </c>
      <c r="F123" s="10" t="str">
        <f ca="1">IFERROR(__xludf.DUMMYFUNCTION("""COMPUTED_VALUE"""),"Posting")</f>
        <v>Posting</v>
      </c>
      <c r="G123" s="10" t="str">
        <f ca="1">IFERROR(__xludf.DUMMYFUNCTION("""COMPUTED_VALUE"""),"Posting")</f>
        <v>Posting</v>
      </c>
      <c r="H123" s="10" t="str">
        <f ca="1">IFERROR(__xludf.DUMMYFUNCTION("""COMPUTED_VALUE"""),"Posting")</f>
        <v>Posting</v>
      </c>
    </row>
    <row r="124" spans="1:8">
      <c r="A124" s="9">
        <f ca="1">IFERROR(__xludf.DUMMYFUNCTION("""COMPUTED_VALUE"""),20022)</f>
        <v>20022</v>
      </c>
      <c r="B124" s="10" t="str">
        <f ca="1">IFERROR(__xludf.DUMMYFUNCTION("""COMPUTED_VALUE"""),"Elle Jervis")</f>
        <v>Elle Jervis</v>
      </c>
      <c r="C124" s="10" t="str">
        <f ca="1">IFERROR(__xludf.DUMMYFUNCTION("""COMPUTED_VALUE"""),"ARS")</f>
        <v>ARS</v>
      </c>
      <c r="D124" s="10" t="str">
        <f ca="1">IFERROR(__xludf.DUMMYFUNCTION("""COMPUTED_VALUE"""),"HS")</f>
        <v>HS</v>
      </c>
      <c r="E124" s="10">
        <f ca="1">IFERROR(__xludf.DUMMYFUNCTION("""COMPUTED_VALUE"""),253)</f>
        <v>253</v>
      </c>
      <c r="F124" s="10">
        <f ca="1">IFERROR(__xludf.DUMMYFUNCTION("""COMPUTED_VALUE"""),6)</f>
        <v>6</v>
      </c>
      <c r="G124" s="10">
        <f ca="1">IFERROR(__xludf.DUMMYFUNCTION("""COMPUTED_VALUE"""),133)</f>
        <v>133</v>
      </c>
      <c r="H124" s="10">
        <f ca="1">IFERROR(__xludf.DUMMYFUNCTION("""COMPUTED_VALUE"""),120)</f>
        <v>120</v>
      </c>
    </row>
    <row r="125" spans="1:8">
      <c r="A125" s="9">
        <f ca="1">IFERROR(__xludf.DUMMYFUNCTION("""COMPUTED_VALUE"""),20023)</f>
        <v>20023</v>
      </c>
      <c r="B125" s="10" t="str">
        <f ca="1">IFERROR(__xludf.DUMMYFUNCTION("""COMPUTED_VALUE"""),"Evabel Becker-Skott")</f>
        <v>Evabel Becker-Skott</v>
      </c>
      <c r="C125" s="10" t="str">
        <f ca="1">IFERROR(__xludf.DUMMYFUNCTION("""COMPUTED_VALUE"""),"ARS")</f>
        <v>ARS</v>
      </c>
      <c r="D125" s="10" t="str">
        <f ca="1">IFERROR(__xludf.DUMMYFUNCTION("""COMPUTED_VALUE"""),"MS")</f>
        <v>MS</v>
      </c>
      <c r="E125" s="10">
        <f ca="1">IFERROR(__xludf.DUMMYFUNCTION("""COMPUTED_VALUE"""),179)</f>
        <v>179</v>
      </c>
      <c r="F125" s="10">
        <f ca="1">IFERROR(__xludf.DUMMYFUNCTION("""COMPUTED_VALUE"""),0)</f>
        <v>0</v>
      </c>
      <c r="G125" s="10">
        <f ca="1">IFERROR(__xludf.DUMMYFUNCTION("""COMPUTED_VALUE"""),102)</f>
        <v>102</v>
      </c>
      <c r="H125" s="10">
        <f ca="1">IFERROR(__xludf.DUMMYFUNCTION("""COMPUTED_VALUE"""),77)</f>
        <v>77</v>
      </c>
    </row>
    <row r="126" spans="1:8">
      <c r="A126" s="9">
        <f ca="1">IFERROR(__xludf.DUMMYFUNCTION("""COMPUTED_VALUE"""),20024)</f>
        <v>20024</v>
      </c>
      <c r="B126" s="10" t="str">
        <f ca="1">IFERROR(__xludf.DUMMYFUNCTION("""COMPUTED_VALUE"""),"Florence Shott")</f>
        <v>Florence Shott</v>
      </c>
      <c r="C126" s="10" t="str">
        <f ca="1">IFERROR(__xludf.DUMMYFUNCTION("""COMPUTED_VALUE"""),"ARS")</f>
        <v>ARS</v>
      </c>
      <c r="D126" s="10" t="str">
        <f ca="1">IFERROR(__xludf.DUMMYFUNCTION("""COMPUTED_VALUE"""),"HS")</f>
        <v>HS</v>
      </c>
      <c r="E126" s="10">
        <f ca="1">IFERROR(__xludf.DUMMYFUNCTION("""COMPUTED_VALUE"""),279)</f>
        <v>279</v>
      </c>
      <c r="F126" s="10">
        <f ca="1">IFERROR(__xludf.DUMMYFUNCTION("""COMPUTED_VALUE"""),15)</f>
        <v>15</v>
      </c>
      <c r="G126" s="10">
        <f ca="1">IFERROR(__xludf.DUMMYFUNCTION("""COMPUTED_VALUE"""),144)</f>
        <v>144</v>
      </c>
      <c r="H126" s="10">
        <f ca="1">IFERROR(__xludf.DUMMYFUNCTION("""COMPUTED_VALUE"""),135)</f>
        <v>135</v>
      </c>
    </row>
    <row r="127" spans="1:8">
      <c r="A127" s="9">
        <f ca="1">IFERROR(__xludf.DUMMYFUNCTION("""COMPUTED_VALUE"""),20025)</f>
        <v>20025</v>
      </c>
      <c r="B127" s="10" t="str">
        <f ca="1">IFERROR(__xludf.DUMMYFUNCTION("""COMPUTED_VALUE"""),"Gala Quintero")</f>
        <v>Gala Quintero</v>
      </c>
      <c r="C127" s="10" t="str">
        <f ca="1">IFERROR(__xludf.DUMMYFUNCTION("""COMPUTED_VALUE"""),"ARS")</f>
        <v>ARS</v>
      </c>
      <c r="D127" s="10" t="str">
        <f ca="1">IFERROR(__xludf.DUMMYFUNCTION("""COMPUTED_VALUE"""),"MS")</f>
        <v>MS</v>
      </c>
      <c r="E127" s="10">
        <f ca="1">IFERROR(__xludf.DUMMYFUNCTION("""COMPUTED_VALUE"""),227)</f>
        <v>227</v>
      </c>
      <c r="F127" s="10">
        <f ca="1">IFERROR(__xludf.DUMMYFUNCTION("""COMPUTED_VALUE"""),5)</f>
        <v>5</v>
      </c>
      <c r="G127" s="10">
        <f ca="1">IFERROR(__xludf.DUMMYFUNCTION("""COMPUTED_VALUE"""),125)</f>
        <v>125</v>
      </c>
      <c r="H127" s="10">
        <f ca="1">IFERROR(__xludf.DUMMYFUNCTION("""COMPUTED_VALUE"""),102)</f>
        <v>102</v>
      </c>
    </row>
    <row r="128" spans="1:8">
      <c r="A128" s="9">
        <f ca="1">IFERROR(__xludf.DUMMYFUNCTION("""COMPUTED_VALUE"""),20026)</f>
        <v>20026</v>
      </c>
      <c r="B128" s="10" t="str">
        <f ca="1">IFERROR(__xludf.DUMMYFUNCTION("""COMPUTED_VALUE"""),"Hannah Cassel")</f>
        <v>Hannah Cassel</v>
      </c>
      <c r="C128" s="10" t="str">
        <f ca="1">IFERROR(__xludf.DUMMYFUNCTION("""COMPUTED_VALUE"""),"ARS")</f>
        <v>ARS</v>
      </c>
      <c r="D128" s="10" t="str">
        <f ca="1">IFERROR(__xludf.DUMMYFUNCTION("""COMPUTED_VALUE"""),"MS")</f>
        <v>MS</v>
      </c>
      <c r="E128" s="10">
        <f ca="1">IFERROR(__xludf.DUMMYFUNCTION("""COMPUTED_VALUE"""),248)</f>
        <v>248</v>
      </c>
      <c r="F128" s="10">
        <f ca="1">IFERROR(__xludf.DUMMYFUNCTION("""COMPUTED_VALUE"""),8)</f>
        <v>8</v>
      </c>
      <c r="G128" s="10">
        <f ca="1">IFERROR(__xludf.DUMMYFUNCTION("""COMPUTED_VALUE"""),130)</f>
        <v>130</v>
      </c>
      <c r="H128" s="10">
        <f ca="1">IFERROR(__xludf.DUMMYFUNCTION("""COMPUTED_VALUE"""),118)</f>
        <v>118</v>
      </c>
    </row>
    <row r="129" spans="1:8">
      <c r="A129" s="9">
        <f ca="1">IFERROR(__xludf.DUMMYFUNCTION("""COMPUTED_VALUE"""),20027)</f>
        <v>20027</v>
      </c>
      <c r="B129" s="10" t="str">
        <f ca="1">IFERROR(__xludf.DUMMYFUNCTION("""COMPUTED_VALUE"""),"Inés Cisneros")</f>
        <v>Inés Cisneros</v>
      </c>
      <c r="C129" s="10" t="str">
        <f ca="1">IFERROR(__xludf.DUMMYFUNCTION("""COMPUTED_VALUE"""),"ARS")</f>
        <v>ARS</v>
      </c>
      <c r="D129" s="10" t="str">
        <f ca="1">IFERROR(__xludf.DUMMYFUNCTION("""COMPUTED_VALUE"""),"MS")</f>
        <v>MS</v>
      </c>
      <c r="E129" s="10">
        <f ca="1">IFERROR(__xludf.DUMMYFUNCTION("""COMPUTED_VALUE"""),114)</f>
        <v>114</v>
      </c>
      <c r="F129" s="10">
        <f ca="1">IFERROR(__xludf.DUMMYFUNCTION("""COMPUTED_VALUE"""),1)</f>
        <v>1</v>
      </c>
      <c r="G129" s="10">
        <f ca="1">IFERROR(__xludf.DUMMYFUNCTION("""COMPUTED_VALUE"""),97)</f>
        <v>97</v>
      </c>
      <c r="H129" s="10">
        <f ca="1">IFERROR(__xludf.DUMMYFUNCTION("""COMPUTED_VALUE"""),17)</f>
        <v>17</v>
      </c>
    </row>
    <row r="130" spans="1:8">
      <c r="A130" s="9">
        <f ca="1">IFERROR(__xludf.DUMMYFUNCTION("""COMPUTED_VALUE"""),20029)</f>
        <v>20029</v>
      </c>
      <c r="B130" s="10" t="str">
        <f ca="1">IFERROR(__xludf.DUMMYFUNCTION("""COMPUTED_VALUE"""),"Karina Gutierrez")</f>
        <v>Karina Gutierrez</v>
      </c>
      <c r="C130" s="10" t="str">
        <f ca="1">IFERROR(__xludf.DUMMYFUNCTION("""COMPUTED_VALUE"""),"ARS")</f>
        <v>ARS</v>
      </c>
      <c r="D130" s="10" t="str">
        <f ca="1">IFERROR(__xludf.DUMMYFUNCTION("""COMPUTED_VALUE"""),"HS")</f>
        <v>HS</v>
      </c>
      <c r="E130" s="10">
        <f ca="1">IFERROR(__xludf.DUMMYFUNCTION("""COMPUTED_VALUE"""),246)</f>
        <v>246</v>
      </c>
      <c r="F130" s="10">
        <f ca="1">IFERROR(__xludf.DUMMYFUNCTION("""COMPUTED_VALUE"""),4)</f>
        <v>4</v>
      </c>
      <c r="G130" s="10">
        <f ca="1">IFERROR(__xludf.DUMMYFUNCTION("""COMPUTED_VALUE"""),135)</f>
        <v>135</v>
      </c>
      <c r="H130" s="10">
        <f ca="1">IFERROR(__xludf.DUMMYFUNCTION("""COMPUTED_VALUE"""),111)</f>
        <v>111</v>
      </c>
    </row>
    <row r="131" spans="1:8">
      <c r="A131" s="9">
        <f ca="1">IFERROR(__xludf.DUMMYFUNCTION("""COMPUTED_VALUE"""),20030)</f>
        <v>20030</v>
      </c>
      <c r="B131" s="10" t="str">
        <f ca="1">IFERROR(__xludf.DUMMYFUNCTION("""COMPUTED_VALUE"""),"Kate Horner")</f>
        <v>Kate Horner</v>
      </c>
      <c r="C131" s="10" t="str">
        <f ca="1">IFERROR(__xludf.DUMMYFUNCTION("""COMPUTED_VALUE"""),"ARS")</f>
        <v>ARS</v>
      </c>
      <c r="D131" s="10" t="str">
        <f ca="1">IFERROR(__xludf.DUMMYFUNCTION("""COMPUTED_VALUE"""),"MS")</f>
        <v>MS</v>
      </c>
      <c r="E131" s="10">
        <f ca="1">IFERROR(__xludf.DUMMYFUNCTION("""COMPUTED_VALUE"""),246)</f>
        <v>246</v>
      </c>
      <c r="F131" s="10">
        <f ca="1">IFERROR(__xludf.DUMMYFUNCTION("""COMPUTED_VALUE"""),3)</f>
        <v>3</v>
      </c>
      <c r="G131" s="10">
        <f ca="1">IFERROR(__xludf.DUMMYFUNCTION("""COMPUTED_VALUE"""),131)</f>
        <v>131</v>
      </c>
      <c r="H131" s="10">
        <f ca="1">IFERROR(__xludf.DUMMYFUNCTION("""COMPUTED_VALUE"""),115)</f>
        <v>115</v>
      </c>
    </row>
    <row r="132" spans="1:8">
      <c r="A132" s="9">
        <f ca="1">IFERROR(__xludf.DUMMYFUNCTION("""COMPUTED_VALUE"""),20031)</f>
        <v>20031</v>
      </c>
      <c r="B132" s="10" t="str">
        <f ca="1">IFERROR(__xludf.DUMMYFUNCTION("""COMPUTED_VALUE"""),"Lainey Lauer")</f>
        <v>Lainey Lauer</v>
      </c>
      <c r="C132" s="10" t="str">
        <f ca="1">IFERROR(__xludf.DUMMYFUNCTION("""COMPUTED_VALUE"""),"ARS")</f>
        <v>ARS</v>
      </c>
      <c r="D132" s="10" t="str">
        <f ca="1">IFERROR(__xludf.DUMMYFUNCTION("""COMPUTED_VALUE"""),"HS")</f>
        <v>HS</v>
      </c>
      <c r="E132" s="10">
        <f ca="1">IFERROR(__xludf.DUMMYFUNCTION("""COMPUTED_VALUE"""),249)</f>
        <v>249</v>
      </c>
      <c r="F132" s="10">
        <f ca="1">IFERROR(__xludf.DUMMYFUNCTION("""COMPUTED_VALUE"""),6)</f>
        <v>6</v>
      </c>
      <c r="G132" s="10">
        <f ca="1">IFERROR(__xludf.DUMMYFUNCTION("""COMPUTED_VALUE"""),130)</f>
        <v>130</v>
      </c>
      <c r="H132" s="10">
        <f ca="1">IFERROR(__xludf.DUMMYFUNCTION("""COMPUTED_VALUE"""),119)</f>
        <v>119</v>
      </c>
    </row>
    <row r="133" spans="1:8">
      <c r="A133" s="9">
        <f ca="1">IFERROR(__xludf.DUMMYFUNCTION("""COMPUTED_VALUE"""),20032)</f>
        <v>20032</v>
      </c>
      <c r="B133" s="10" t="str">
        <f ca="1">IFERROR(__xludf.DUMMYFUNCTION("""COMPUTED_VALUE"""),"Lexi Kaighin")</f>
        <v>Lexi Kaighin</v>
      </c>
      <c r="C133" s="10" t="str">
        <f ca="1">IFERROR(__xludf.DUMMYFUNCTION("""COMPUTED_VALUE"""),"ARS")</f>
        <v>ARS</v>
      </c>
      <c r="D133" s="10" t="str">
        <f ca="1">IFERROR(__xludf.DUMMYFUNCTION("""COMPUTED_VALUE"""),"HS")</f>
        <v>HS</v>
      </c>
      <c r="E133" s="10">
        <f ca="1">IFERROR(__xludf.DUMMYFUNCTION("""COMPUTED_VALUE"""),205)</f>
        <v>205</v>
      </c>
      <c r="F133" s="10">
        <f ca="1">IFERROR(__xludf.DUMMYFUNCTION("""COMPUTED_VALUE"""),0)</f>
        <v>0</v>
      </c>
      <c r="G133" s="10">
        <f ca="1">IFERROR(__xludf.DUMMYFUNCTION("""COMPUTED_VALUE"""),106)</f>
        <v>106</v>
      </c>
      <c r="H133" s="10">
        <f ca="1">IFERROR(__xludf.DUMMYFUNCTION("""COMPUTED_VALUE"""),99)</f>
        <v>99</v>
      </c>
    </row>
    <row r="134" spans="1:8">
      <c r="A134" s="9">
        <f ca="1">IFERROR(__xludf.DUMMYFUNCTION("""COMPUTED_VALUE"""),20033)</f>
        <v>20033</v>
      </c>
      <c r="B134" s="10" t="str">
        <f ca="1">IFERROR(__xludf.DUMMYFUNCTION("""COMPUTED_VALUE"""),"Linden Tao")</f>
        <v>Linden Tao</v>
      </c>
      <c r="C134" s="10" t="str">
        <f ca="1">IFERROR(__xludf.DUMMYFUNCTION("""COMPUTED_VALUE"""),"ARS")</f>
        <v>ARS</v>
      </c>
      <c r="D134" s="10" t="str">
        <f ca="1">IFERROR(__xludf.DUMMYFUNCTION("""COMPUTED_VALUE"""),"MS")</f>
        <v>MS</v>
      </c>
      <c r="E134" s="10">
        <f ca="1">IFERROR(__xludf.DUMMYFUNCTION("""COMPUTED_VALUE"""),231)</f>
        <v>231</v>
      </c>
      <c r="F134" s="10">
        <f ca="1">IFERROR(__xludf.DUMMYFUNCTION("""COMPUTED_VALUE"""),2)</f>
        <v>2</v>
      </c>
      <c r="G134" s="10">
        <f ca="1">IFERROR(__xludf.DUMMYFUNCTION("""COMPUTED_VALUE"""),130)</f>
        <v>130</v>
      </c>
      <c r="H134" s="10">
        <f ca="1">IFERROR(__xludf.DUMMYFUNCTION("""COMPUTED_VALUE"""),101)</f>
        <v>101</v>
      </c>
    </row>
    <row r="135" spans="1:8">
      <c r="A135" s="9">
        <f ca="1">IFERROR(__xludf.DUMMYFUNCTION("""COMPUTED_VALUE"""),20034)</f>
        <v>20034</v>
      </c>
      <c r="B135" s="10" t="str">
        <f ca="1">IFERROR(__xludf.DUMMYFUNCTION("""COMPUTED_VALUE"""),"Madeleine Tremblay")</f>
        <v>Madeleine Tremblay</v>
      </c>
      <c r="C135" s="10" t="str">
        <f ca="1">IFERROR(__xludf.DUMMYFUNCTION("""COMPUTED_VALUE"""),"Ann Richards School for Young Women Leaders")</f>
        <v>Ann Richards School for Young Women Leaders</v>
      </c>
      <c r="D135" s="10" t="str">
        <f ca="1">IFERROR(__xludf.DUMMYFUNCTION("""COMPUTED_VALUE"""),"MS")</f>
        <v>MS</v>
      </c>
      <c r="E135" s="10">
        <f ca="1">IFERROR(__xludf.DUMMYFUNCTION("""COMPUTED_VALUE"""),217)</f>
        <v>217</v>
      </c>
      <c r="F135" s="10">
        <f ca="1">IFERROR(__xludf.DUMMYFUNCTION("""COMPUTED_VALUE"""),3)</f>
        <v>3</v>
      </c>
      <c r="G135" s="10">
        <f ca="1">IFERROR(__xludf.DUMMYFUNCTION("""COMPUTED_VALUE"""),123)</f>
        <v>123</v>
      </c>
      <c r="H135" s="10">
        <f ca="1">IFERROR(__xludf.DUMMYFUNCTION("""COMPUTED_VALUE"""),94)</f>
        <v>94</v>
      </c>
    </row>
    <row r="136" spans="1:8">
      <c r="A136" s="9">
        <f ca="1">IFERROR(__xludf.DUMMYFUNCTION("""COMPUTED_VALUE"""),20035)</f>
        <v>20035</v>
      </c>
      <c r="B136" s="10" t="str">
        <f ca="1">IFERROR(__xludf.DUMMYFUNCTION("""COMPUTED_VALUE"""),"Maya Berger")</f>
        <v>Maya Berger</v>
      </c>
      <c r="C136" s="10" t="str">
        <f ca="1">IFERROR(__xludf.DUMMYFUNCTION("""COMPUTED_VALUE"""),"ARS")</f>
        <v>ARS</v>
      </c>
      <c r="D136" s="10" t="str">
        <f ca="1">IFERROR(__xludf.DUMMYFUNCTION("""COMPUTED_VALUE"""),"HS")</f>
        <v>HS</v>
      </c>
      <c r="E136" s="10">
        <f ca="1">IFERROR(__xludf.DUMMYFUNCTION("""COMPUTED_VALUE"""),244)</f>
        <v>244</v>
      </c>
      <c r="F136" s="10">
        <f ca="1">IFERROR(__xludf.DUMMYFUNCTION("""COMPUTED_VALUE"""),3)</f>
        <v>3</v>
      </c>
      <c r="G136" s="10">
        <f ca="1">IFERROR(__xludf.DUMMYFUNCTION("""COMPUTED_VALUE"""),130)</f>
        <v>130</v>
      </c>
      <c r="H136" s="10">
        <f ca="1">IFERROR(__xludf.DUMMYFUNCTION("""COMPUTED_VALUE"""),114)</f>
        <v>114</v>
      </c>
    </row>
    <row r="137" spans="1:8">
      <c r="A137" s="9">
        <f ca="1">IFERROR(__xludf.DUMMYFUNCTION("""COMPUTED_VALUE"""),20036)</f>
        <v>20036</v>
      </c>
      <c r="B137" s="10" t="str">
        <f ca="1">IFERROR(__xludf.DUMMYFUNCTION("""COMPUTED_VALUE"""),"Mia Garcia")</f>
        <v>Mia Garcia</v>
      </c>
      <c r="C137" s="10" t="str">
        <f ca="1">IFERROR(__xludf.DUMMYFUNCTION("""COMPUTED_VALUE"""),"ARS")</f>
        <v>ARS</v>
      </c>
      <c r="D137" s="10" t="str">
        <f ca="1">IFERROR(__xludf.DUMMYFUNCTION("""COMPUTED_VALUE"""),"MS")</f>
        <v>MS</v>
      </c>
      <c r="E137" s="10">
        <f ca="1">IFERROR(__xludf.DUMMYFUNCTION("""COMPUTED_VALUE"""),224)</f>
        <v>224</v>
      </c>
      <c r="F137" s="10">
        <f ca="1">IFERROR(__xludf.DUMMYFUNCTION("""COMPUTED_VALUE"""),2)</f>
        <v>2</v>
      </c>
      <c r="G137" s="10">
        <f ca="1">IFERROR(__xludf.DUMMYFUNCTION("""COMPUTED_VALUE"""),123)</f>
        <v>123</v>
      </c>
      <c r="H137" s="10">
        <f ca="1">IFERROR(__xludf.DUMMYFUNCTION("""COMPUTED_VALUE"""),101)</f>
        <v>101</v>
      </c>
    </row>
    <row r="138" spans="1:8">
      <c r="A138" s="9">
        <f ca="1">IFERROR(__xludf.DUMMYFUNCTION("""COMPUTED_VALUE"""),20037)</f>
        <v>20037</v>
      </c>
      <c r="B138" s="10" t="str">
        <f ca="1">IFERROR(__xludf.DUMMYFUNCTION("""COMPUTED_VALUE"""),"Mia Paz")</f>
        <v>Mia Paz</v>
      </c>
      <c r="C138" s="10" t="str">
        <f ca="1">IFERROR(__xludf.DUMMYFUNCTION("""COMPUTED_VALUE"""),"ARS")</f>
        <v>ARS</v>
      </c>
      <c r="D138" s="10" t="str">
        <f ca="1">IFERROR(__xludf.DUMMYFUNCTION("""COMPUTED_VALUE"""),"MS")</f>
        <v>MS</v>
      </c>
      <c r="E138" s="10">
        <f ca="1">IFERROR(__xludf.DUMMYFUNCTION("""COMPUTED_VALUE"""),207)</f>
        <v>207</v>
      </c>
      <c r="F138" s="10">
        <f ca="1">IFERROR(__xludf.DUMMYFUNCTION("""COMPUTED_VALUE"""),2)</f>
        <v>2</v>
      </c>
      <c r="G138" s="10">
        <f ca="1">IFERROR(__xludf.DUMMYFUNCTION("""COMPUTED_VALUE"""),122)</f>
        <v>122</v>
      </c>
      <c r="H138" s="10">
        <f ca="1">IFERROR(__xludf.DUMMYFUNCTION("""COMPUTED_VALUE"""),85)</f>
        <v>85</v>
      </c>
    </row>
    <row r="139" spans="1:8">
      <c r="A139" s="9">
        <f ca="1">IFERROR(__xludf.DUMMYFUNCTION("""COMPUTED_VALUE"""),20038)</f>
        <v>20038</v>
      </c>
      <c r="B139" s="10" t="str">
        <f ca="1">IFERROR(__xludf.DUMMYFUNCTION("""COMPUTED_VALUE"""),"Nina Fedyszyn")</f>
        <v>Nina Fedyszyn</v>
      </c>
      <c r="C139" s="10" t="str">
        <f ca="1">IFERROR(__xludf.DUMMYFUNCTION("""COMPUTED_VALUE"""),"ARS")</f>
        <v>ARS</v>
      </c>
      <c r="D139" s="10" t="str">
        <f ca="1">IFERROR(__xludf.DUMMYFUNCTION("""COMPUTED_VALUE"""),"MS")</f>
        <v>MS</v>
      </c>
      <c r="E139" s="10">
        <f ca="1">IFERROR(__xludf.DUMMYFUNCTION("""COMPUTED_VALUE"""),273)</f>
        <v>273</v>
      </c>
      <c r="F139" s="10">
        <f ca="1">IFERROR(__xludf.DUMMYFUNCTION("""COMPUTED_VALUE"""),9)</f>
        <v>9</v>
      </c>
      <c r="G139" s="10">
        <f ca="1">IFERROR(__xludf.DUMMYFUNCTION("""COMPUTED_VALUE"""),140)</f>
        <v>140</v>
      </c>
      <c r="H139" s="10">
        <f ca="1">IFERROR(__xludf.DUMMYFUNCTION("""COMPUTED_VALUE"""),133)</f>
        <v>133</v>
      </c>
    </row>
    <row r="140" spans="1:8">
      <c r="A140" s="9">
        <f ca="1">IFERROR(__xludf.DUMMYFUNCTION("""COMPUTED_VALUE"""),20039)</f>
        <v>20039</v>
      </c>
      <c r="B140" s="10" t="str">
        <f ca="1">IFERROR(__xludf.DUMMYFUNCTION("""COMPUTED_VALUE"""),"Norah Young")</f>
        <v>Norah Young</v>
      </c>
      <c r="C140" s="10" t="str">
        <f ca="1">IFERROR(__xludf.DUMMYFUNCTION("""COMPUTED_VALUE"""),"Ann Richards School for Young Women Leaders")</f>
        <v>Ann Richards School for Young Women Leaders</v>
      </c>
      <c r="D140" s="10" t="str">
        <f ca="1">IFERROR(__xludf.DUMMYFUNCTION("""COMPUTED_VALUE"""),"MS")</f>
        <v>MS</v>
      </c>
      <c r="E140" s="10">
        <f ca="1">IFERROR(__xludf.DUMMYFUNCTION("""COMPUTED_VALUE"""),258)</f>
        <v>258</v>
      </c>
      <c r="F140" s="10">
        <f ca="1">IFERROR(__xludf.DUMMYFUNCTION("""COMPUTED_VALUE"""),8)</f>
        <v>8</v>
      </c>
      <c r="G140" s="10">
        <f ca="1">IFERROR(__xludf.DUMMYFUNCTION("""COMPUTED_VALUE"""),134)</f>
        <v>134</v>
      </c>
      <c r="H140" s="10">
        <f ca="1">IFERROR(__xludf.DUMMYFUNCTION("""COMPUTED_VALUE"""),124)</f>
        <v>124</v>
      </c>
    </row>
    <row r="141" spans="1:8">
      <c r="A141" s="9">
        <f ca="1">IFERROR(__xludf.DUMMYFUNCTION("""COMPUTED_VALUE"""),20040)</f>
        <v>20040</v>
      </c>
      <c r="B141" s="10" t="str">
        <f ca="1">IFERROR(__xludf.DUMMYFUNCTION("""COMPUTED_VALUE"""),"Olivia Lackey")</f>
        <v>Olivia Lackey</v>
      </c>
      <c r="C141" s="10" t="str">
        <f ca="1">IFERROR(__xludf.DUMMYFUNCTION("""COMPUTED_VALUE"""),"ARS")</f>
        <v>ARS</v>
      </c>
      <c r="D141" s="10" t="str">
        <f ca="1">IFERROR(__xludf.DUMMYFUNCTION("""COMPUTED_VALUE"""),"MS")</f>
        <v>MS</v>
      </c>
      <c r="E141" s="10">
        <f ca="1">IFERROR(__xludf.DUMMYFUNCTION("""COMPUTED_VALUE"""),230)</f>
        <v>230</v>
      </c>
      <c r="F141" s="10">
        <f ca="1">IFERROR(__xludf.DUMMYFUNCTION("""COMPUTED_VALUE"""),3)</f>
        <v>3</v>
      </c>
      <c r="G141" s="10">
        <f ca="1">IFERROR(__xludf.DUMMYFUNCTION("""COMPUTED_VALUE"""),124)</f>
        <v>124</v>
      </c>
      <c r="H141" s="10">
        <f ca="1">IFERROR(__xludf.DUMMYFUNCTION("""COMPUTED_VALUE"""),106)</f>
        <v>106</v>
      </c>
    </row>
    <row r="142" spans="1:8">
      <c r="A142" s="9">
        <f ca="1">IFERROR(__xludf.DUMMYFUNCTION("""COMPUTED_VALUE"""),20041)</f>
        <v>20041</v>
      </c>
      <c r="B142" s="10" t="str">
        <f ca="1">IFERROR(__xludf.DUMMYFUNCTION("""COMPUTED_VALUE"""),"Olivia Vinson")</f>
        <v>Olivia Vinson</v>
      </c>
      <c r="C142" s="10" t="str">
        <f ca="1">IFERROR(__xludf.DUMMYFUNCTION("""COMPUTED_VALUE"""),"ARS")</f>
        <v>ARS</v>
      </c>
      <c r="D142" s="10" t="str">
        <f ca="1">IFERROR(__xludf.DUMMYFUNCTION("""COMPUTED_VALUE"""),"MS")</f>
        <v>MS</v>
      </c>
      <c r="E142" s="10">
        <f ca="1">IFERROR(__xludf.DUMMYFUNCTION("""COMPUTED_VALUE"""),241)</f>
        <v>241</v>
      </c>
      <c r="F142" s="10">
        <f ca="1">IFERROR(__xludf.DUMMYFUNCTION("""COMPUTED_VALUE"""),3)</f>
        <v>3</v>
      </c>
      <c r="G142" s="10">
        <f ca="1">IFERROR(__xludf.DUMMYFUNCTION("""COMPUTED_VALUE"""),125)</f>
        <v>125</v>
      </c>
      <c r="H142" s="10">
        <f ca="1">IFERROR(__xludf.DUMMYFUNCTION("""COMPUTED_VALUE"""),116)</f>
        <v>116</v>
      </c>
    </row>
    <row r="143" spans="1:8">
      <c r="A143" s="9">
        <f ca="1">IFERROR(__xludf.DUMMYFUNCTION("""COMPUTED_VALUE"""),20043)</f>
        <v>20043</v>
      </c>
      <c r="B143" s="10" t="str">
        <f ca="1">IFERROR(__xludf.DUMMYFUNCTION("""COMPUTED_VALUE"""),"Paloma Lewis")</f>
        <v>Paloma Lewis</v>
      </c>
      <c r="C143" s="10" t="str">
        <f ca="1">IFERROR(__xludf.DUMMYFUNCTION("""COMPUTED_VALUE"""),"ARS")</f>
        <v>ARS</v>
      </c>
      <c r="D143" s="10" t="str">
        <f ca="1">IFERROR(__xludf.DUMMYFUNCTION("""COMPUTED_VALUE"""),"HS")</f>
        <v>HS</v>
      </c>
      <c r="E143" s="10">
        <f ca="1">IFERROR(__xludf.DUMMYFUNCTION("""COMPUTED_VALUE"""),273)</f>
        <v>273</v>
      </c>
      <c r="F143" s="10">
        <f ca="1">IFERROR(__xludf.DUMMYFUNCTION("""COMPUTED_VALUE"""),12)</f>
        <v>12</v>
      </c>
      <c r="G143" s="10">
        <f ca="1">IFERROR(__xludf.DUMMYFUNCTION("""COMPUTED_VALUE"""),139)</f>
        <v>139</v>
      </c>
      <c r="H143" s="10">
        <f ca="1">IFERROR(__xludf.DUMMYFUNCTION("""COMPUTED_VALUE"""),134)</f>
        <v>134</v>
      </c>
    </row>
    <row r="144" spans="1:8">
      <c r="A144" s="9">
        <f ca="1">IFERROR(__xludf.DUMMYFUNCTION("""COMPUTED_VALUE"""),20044)</f>
        <v>20044</v>
      </c>
      <c r="B144" s="10" t="str">
        <f ca="1">IFERROR(__xludf.DUMMYFUNCTION("""COMPUTED_VALUE"""),"Quinn Ellmer")</f>
        <v>Quinn Ellmer</v>
      </c>
      <c r="C144" s="10" t="str">
        <f ca="1">IFERROR(__xludf.DUMMYFUNCTION("""COMPUTED_VALUE"""),"ARS")</f>
        <v>ARS</v>
      </c>
      <c r="D144" s="10" t="str">
        <f ca="1">IFERROR(__xludf.DUMMYFUNCTION("""COMPUTED_VALUE"""),"MS")</f>
        <v>MS</v>
      </c>
      <c r="E144" s="10">
        <f ca="1">IFERROR(__xludf.DUMMYFUNCTION("""COMPUTED_VALUE"""),265)</f>
        <v>265</v>
      </c>
      <c r="F144" s="10">
        <f ca="1">IFERROR(__xludf.DUMMYFUNCTION("""COMPUTED_VALUE"""),8)</f>
        <v>8</v>
      </c>
      <c r="G144" s="10">
        <f ca="1">IFERROR(__xludf.DUMMYFUNCTION("""COMPUTED_VALUE"""),137)</f>
        <v>137</v>
      </c>
      <c r="H144" s="10">
        <f ca="1">IFERROR(__xludf.DUMMYFUNCTION("""COMPUTED_VALUE"""),128)</f>
        <v>128</v>
      </c>
    </row>
    <row r="145" spans="1:8">
      <c r="A145" s="9">
        <f ca="1">IFERROR(__xludf.DUMMYFUNCTION("""COMPUTED_VALUE"""),20045)</f>
        <v>20045</v>
      </c>
      <c r="B145" s="10" t="str">
        <f ca="1">IFERROR(__xludf.DUMMYFUNCTION("""COMPUTED_VALUE"""),"Rayne Bakhshi")</f>
        <v>Rayne Bakhshi</v>
      </c>
      <c r="C145" s="10" t="str">
        <f ca="1">IFERROR(__xludf.DUMMYFUNCTION("""COMPUTED_VALUE"""),"ARS")</f>
        <v>ARS</v>
      </c>
      <c r="D145" s="10" t="str">
        <f ca="1">IFERROR(__xludf.DUMMYFUNCTION("""COMPUTED_VALUE"""),"HS")</f>
        <v>HS</v>
      </c>
      <c r="E145" s="10">
        <f ca="1">IFERROR(__xludf.DUMMYFUNCTION("""COMPUTED_VALUE"""),229)</f>
        <v>229</v>
      </c>
      <c r="F145" s="10">
        <f ca="1">IFERROR(__xludf.DUMMYFUNCTION("""COMPUTED_VALUE"""),3)</f>
        <v>3</v>
      </c>
      <c r="G145" s="10">
        <f ca="1">IFERROR(__xludf.DUMMYFUNCTION("""COMPUTED_VALUE"""),122)</f>
        <v>122</v>
      </c>
      <c r="H145" s="10">
        <f ca="1">IFERROR(__xludf.DUMMYFUNCTION("""COMPUTED_VALUE"""),107)</f>
        <v>107</v>
      </c>
    </row>
    <row r="146" spans="1:8">
      <c r="A146" s="9">
        <f ca="1">IFERROR(__xludf.DUMMYFUNCTION("""COMPUTED_VALUE"""),20046)</f>
        <v>20046</v>
      </c>
      <c r="B146" s="10" t="str">
        <f ca="1">IFERROR(__xludf.DUMMYFUNCTION("""COMPUTED_VALUE"""),"Rory Barrett")</f>
        <v>Rory Barrett</v>
      </c>
      <c r="C146" s="10" t="str">
        <f ca="1">IFERROR(__xludf.DUMMYFUNCTION("""COMPUTED_VALUE"""),"ARS")</f>
        <v>ARS</v>
      </c>
      <c r="D146" s="10" t="str">
        <f ca="1">IFERROR(__xludf.DUMMYFUNCTION("""COMPUTED_VALUE"""),"HS")</f>
        <v>HS</v>
      </c>
      <c r="E146" s="10">
        <f ca="1">IFERROR(__xludf.DUMMYFUNCTION("""COMPUTED_VALUE"""),243)</f>
        <v>243</v>
      </c>
      <c r="F146" s="10">
        <f ca="1">IFERROR(__xludf.DUMMYFUNCTION("""COMPUTED_VALUE"""),7)</f>
        <v>7</v>
      </c>
      <c r="G146" s="10">
        <f ca="1">IFERROR(__xludf.DUMMYFUNCTION("""COMPUTED_VALUE"""),135)</f>
        <v>135</v>
      </c>
      <c r="H146" s="10">
        <f ca="1">IFERROR(__xludf.DUMMYFUNCTION("""COMPUTED_VALUE"""),108)</f>
        <v>108</v>
      </c>
    </row>
    <row r="147" spans="1:8">
      <c r="A147" s="9">
        <f ca="1">IFERROR(__xludf.DUMMYFUNCTION("""COMPUTED_VALUE"""),20047)</f>
        <v>20047</v>
      </c>
      <c r="B147" s="10" t="str">
        <f ca="1">IFERROR(__xludf.DUMMYFUNCTION("""COMPUTED_VALUE"""),"Rosa Vargas")</f>
        <v>Rosa Vargas</v>
      </c>
      <c r="C147" s="10" t="str">
        <f ca="1">IFERROR(__xludf.DUMMYFUNCTION("""COMPUTED_VALUE"""),"ARS")</f>
        <v>ARS</v>
      </c>
      <c r="D147" s="10" t="str">
        <f ca="1">IFERROR(__xludf.DUMMYFUNCTION("""COMPUTED_VALUE"""),"MS")</f>
        <v>MS</v>
      </c>
      <c r="E147" s="10">
        <f ca="1">IFERROR(__xludf.DUMMYFUNCTION("""COMPUTED_VALUE"""),245)</f>
        <v>245</v>
      </c>
      <c r="F147" s="10">
        <f ca="1">IFERROR(__xludf.DUMMYFUNCTION("""COMPUTED_VALUE"""),3)</f>
        <v>3</v>
      </c>
      <c r="G147" s="10">
        <f ca="1">IFERROR(__xludf.DUMMYFUNCTION("""COMPUTED_VALUE"""),132)</f>
        <v>132</v>
      </c>
      <c r="H147" s="10">
        <f ca="1">IFERROR(__xludf.DUMMYFUNCTION("""COMPUTED_VALUE"""),113)</f>
        <v>113</v>
      </c>
    </row>
    <row r="148" spans="1:8">
      <c r="A148" s="9">
        <f ca="1">IFERROR(__xludf.DUMMYFUNCTION("""COMPUTED_VALUE"""),20048)</f>
        <v>20048</v>
      </c>
      <c r="B148" s="10" t="str">
        <f ca="1">IFERROR(__xludf.DUMMYFUNCTION("""COMPUTED_VALUE"""),"Ruby Bullard")</f>
        <v>Ruby Bullard</v>
      </c>
      <c r="C148" s="10" t="str">
        <f ca="1">IFERROR(__xludf.DUMMYFUNCTION("""COMPUTED_VALUE"""),"ARS")</f>
        <v>ARS</v>
      </c>
      <c r="D148" s="10" t="str">
        <f ca="1">IFERROR(__xludf.DUMMYFUNCTION("""COMPUTED_VALUE"""),"MS")</f>
        <v>MS</v>
      </c>
      <c r="E148" s="10">
        <f ca="1">IFERROR(__xludf.DUMMYFUNCTION("""COMPUTED_VALUE"""),230)</f>
        <v>230</v>
      </c>
      <c r="F148" s="10">
        <f ca="1">IFERROR(__xludf.DUMMYFUNCTION("""COMPUTED_VALUE"""),2)</f>
        <v>2</v>
      </c>
      <c r="G148" s="10">
        <f ca="1">IFERROR(__xludf.DUMMYFUNCTION("""COMPUTED_VALUE"""),126)</f>
        <v>126</v>
      </c>
      <c r="H148" s="10">
        <f ca="1">IFERROR(__xludf.DUMMYFUNCTION("""COMPUTED_VALUE"""),104)</f>
        <v>104</v>
      </c>
    </row>
    <row r="149" spans="1:8">
      <c r="A149" s="9">
        <f ca="1">IFERROR(__xludf.DUMMYFUNCTION("""COMPUTED_VALUE"""),20049)</f>
        <v>20049</v>
      </c>
      <c r="B149" s="10" t="str">
        <f ca="1">IFERROR(__xludf.DUMMYFUNCTION("""COMPUTED_VALUE"""),"Sarita Ceballos")</f>
        <v>Sarita Ceballos</v>
      </c>
      <c r="C149" s="10" t="str">
        <f ca="1">IFERROR(__xludf.DUMMYFUNCTION("""COMPUTED_VALUE"""),"ARS")</f>
        <v>ARS</v>
      </c>
      <c r="D149" s="10" t="str">
        <f ca="1">IFERROR(__xludf.DUMMYFUNCTION("""COMPUTED_VALUE"""),"HS")</f>
        <v>HS</v>
      </c>
      <c r="E149" s="10">
        <f ca="1">IFERROR(__xludf.DUMMYFUNCTION("""COMPUTED_VALUE"""),178)</f>
        <v>178</v>
      </c>
      <c r="F149" s="10">
        <f ca="1">IFERROR(__xludf.DUMMYFUNCTION("""COMPUTED_VALUE"""),0)</f>
        <v>0</v>
      </c>
      <c r="G149" s="10">
        <f ca="1">IFERROR(__xludf.DUMMYFUNCTION("""COMPUTED_VALUE"""),109)</f>
        <v>109</v>
      </c>
      <c r="H149" s="10">
        <f ca="1">IFERROR(__xludf.DUMMYFUNCTION("""COMPUTED_VALUE"""),69)</f>
        <v>69</v>
      </c>
    </row>
    <row r="150" spans="1:8">
      <c r="A150" s="9">
        <f ca="1">IFERROR(__xludf.DUMMYFUNCTION("""COMPUTED_VALUE"""),20051)</f>
        <v>20051</v>
      </c>
      <c r="B150" s="10" t="str">
        <f ca="1">IFERROR(__xludf.DUMMYFUNCTION("""COMPUTED_VALUE"""),"Senna Tureen")</f>
        <v>Senna Tureen</v>
      </c>
      <c r="C150" s="10" t="str">
        <f ca="1">IFERROR(__xludf.DUMMYFUNCTION("""COMPUTED_VALUE"""),"ARS")</f>
        <v>ARS</v>
      </c>
      <c r="D150" s="10" t="str">
        <f ca="1">IFERROR(__xludf.DUMMYFUNCTION("""COMPUTED_VALUE"""),"MS")</f>
        <v>MS</v>
      </c>
      <c r="E150" s="10">
        <f ca="1">IFERROR(__xludf.DUMMYFUNCTION("""COMPUTED_VALUE"""),240)</f>
        <v>240</v>
      </c>
      <c r="F150" s="10">
        <f ca="1">IFERROR(__xludf.DUMMYFUNCTION("""COMPUTED_VALUE"""),4)</f>
        <v>4</v>
      </c>
      <c r="G150" s="10">
        <f ca="1">IFERROR(__xludf.DUMMYFUNCTION("""COMPUTED_VALUE"""),132)</f>
        <v>132</v>
      </c>
      <c r="H150" s="10">
        <f ca="1">IFERROR(__xludf.DUMMYFUNCTION("""COMPUTED_VALUE"""),108)</f>
        <v>108</v>
      </c>
    </row>
    <row r="151" spans="1:8">
      <c r="A151" s="9">
        <f ca="1">IFERROR(__xludf.DUMMYFUNCTION("""COMPUTED_VALUE"""),20052)</f>
        <v>20052</v>
      </c>
      <c r="B151" s="10" t="str">
        <f ca="1">IFERROR(__xludf.DUMMYFUNCTION("""COMPUTED_VALUE"""),"Skarlett Hernandez")</f>
        <v>Skarlett Hernandez</v>
      </c>
      <c r="C151" s="10" t="str">
        <f ca="1">IFERROR(__xludf.DUMMYFUNCTION("""COMPUTED_VALUE"""),"ARS")</f>
        <v>ARS</v>
      </c>
      <c r="D151" s="10" t="str">
        <f ca="1">IFERROR(__xludf.DUMMYFUNCTION("""COMPUTED_VALUE"""),"MS")</f>
        <v>MS</v>
      </c>
      <c r="E151" s="10">
        <f ca="1">IFERROR(__xludf.DUMMYFUNCTION("""COMPUTED_VALUE"""),153)</f>
        <v>153</v>
      </c>
      <c r="F151" s="10">
        <f ca="1">IFERROR(__xludf.DUMMYFUNCTION("""COMPUTED_VALUE"""),1)</f>
        <v>1</v>
      </c>
      <c r="G151" s="10">
        <f ca="1">IFERROR(__xludf.DUMMYFUNCTION("""COMPUTED_VALUE"""),83)</f>
        <v>83</v>
      </c>
      <c r="H151" s="10">
        <f ca="1">IFERROR(__xludf.DUMMYFUNCTION("""COMPUTED_VALUE"""),70)</f>
        <v>70</v>
      </c>
    </row>
    <row r="152" spans="1:8">
      <c r="A152" s="9">
        <f ca="1">IFERROR(__xludf.DUMMYFUNCTION("""COMPUTED_VALUE"""),20053)</f>
        <v>20053</v>
      </c>
      <c r="B152" s="10" t="str">
        <f ca="1">IFERROR(__xludf.DUMMYFUNCTION("""COMPUTED_VALUE"""),"Skye Flaherty")</f>
        <v>Skye Flaherty</v>
      </c>
      <c r="C152" s="10" t="str">
        <f ca="1">IFERROR(__xludf.DUMMYFUNCTION("""COMPUTED_VALUE"""),"ARS")</f>
        <v>ARS</v>
      </c>
      <c r="D152" s="10" t="str">
        <f ca="1">IFERROR(__xludf.DUMMYFUNCTION("""COMPUTED_VALUE"""),"MS")</f>
        <v>MS</v>
      </c>
      <c r="E152" s="10">
        <f ca="1">IFERROR(__xludf.DUMMYFUNCTION("""COMPUTED_VALUE"""),252)</f>
        <v>252</v>
      </c>
      <c r="F152" s="10">
        <f ca="1">IFERROR(__xludf.DUMMYFUNCTION("""COMPUTED_VALUE"""),7)</f>
        <v>7</v>
      </c>
      <c r="G152" s="10">
        <f ca="1">IFERROR(__xludf.DUMMYFUNCTION("""COMPUTED_VALUE"""),124)</f>
        <v>124</v>
      </c>
      <c r="H152" s="10">
        <f ca="1">IFERROR(__xludf.DUMMYFUNCTION("""COMPUTED_VALUE"""),128)</f>
        <v>128</v>
      </c>
    </row>
    <row r="153" spans="1:8">
      <c r="A153" s="9">
        <f ca="1">IFERROR(__xludf.DUMMYFUNCTION("""COMPUTED_VALUE"""),20054)</f>
        <v>20054</v>
      </c>
      <c r="B153" s="10" t="str">
        <f ca="1">IFERROR(__xludf.DUMMYFUNCTION("""COMPUTED_VALUE"""),"Sofie CEBALLOS")</f>
        <v>Sofie CEBALLOS</v>
      </c>
      <c r="C153" s="10" t="str">
        <f ca="1">IFERROR(__xludf.DUMMYFUNCTION("""COMPUTED_VALUE"""),"ARS")</f>
        <v>ARS</v>
      </c>
      <c r="D153" s="10" t="str">
        <f ca="1">IFERROR(__xludf.DUMMYFUNCTION("""COMPUTED_VALUE"""),"HS")</f>
        <v>HS</v>
      </c>
      <c r="E153" s="10">
        <f ca="1">IFERROR(__xludf.DUMMYFUNCTION("""COMPUTED_VALUE"""),231)</f>
        <v>231</v>
      </c>
      <c r="F153" s="10">
        <f ca="1">IFERROR(__xludf.DUMMYFUNCTION("""COMPUTED_VALUE"""),2)</f>
        <v>2</v>
      </c>
      <c r="G153" s="10">
        <f ca="1">IFERROR(__xludf.DUMMYFUNCTION("""COMPUTED_VALUE"""),121)</f>
        <v>121</v>
      </c>
      <c r="H153" s="10">
        <f ca="1">IFERROR(__xludf.DUMMYFUNCTION("""COMPUTED_VALUE"""),110)</f>
        <v>110</v>
      </c>
    </row>
    <row r="154" spans="1:8">
      <c r="A154" s="9">
        <f ca="1">IFERROR(__xludf.DUMMYFUNCTION("""COMPUTED_VALUE"""),20055)</f>
        <v>20055</v>
      </c>
      <c r="B154" s="10" t="str">
        <f ca="1">IFERROR(__xludf.DUMMYFUNCTION("""COMPUTED_VALUE"""),"Sophia Najera")</f>
        <v>Sophia Najera</v>
      </c>
      <c r="C154" s="10" t="str">
        <f ca="1">IFERROR(__xludf.DUMMYFUNCTION("""COMPUTED_VALUE"""),"ARS")</f>
        <v>ARS</v>
      </c>
      <c r="D154" s="10" t="str">
        <f ca="1">IFERROR(__xludf.DUMMYFUNCTION("""COMPUTED_VALUE"""),"MS")</f>
        <v>MS</v>
      </c>
      <c r="E154" s="10">
        <f ca="1">IFERROR(__xludf.DUMMYFUNCTION("""COMPUTED_VALUE"""),196)</f>
        <v>196</v>
      </c>
      <c r="F154" s="10">
        <f ca="1">IFERROR(__xludf.DUMMYFUNCTION("""COMPUTED_VALUE"""),0)</f>
        <v>0</v>
      </c>
      <c r="G154" s="10">
        <f ca="1">IFERROR(__xludf.DUMMYFUNCTION("""COMPUTED_VALUE"""),110)</f>
        <v>110</v>
      </c>
      <c r="H154" s="10">
        <f ca="1">IFERROR(__xludf.DUMMYFUNCTION("""COMPUTED_VALUE"""),86)</f>
        <v>86</v>
      </c>
    </row>
    <row r="155" spans="1:8">
      <c r="A155" s="9">
        <f ca="1">IFERROR(__xludf.DUMMYFUNCTION("""COMPUTED_VALUE"""),20056)</f>
        <v>20056</v>
      </c>
      <c r="B155" s="10" t="str">
        <f ca="1">IFERROR(__xludf.DUMMYFUNCTION("""COMPUTED_VALUE"""),"Tania Murillo")</f>
        <v>Tania Murillo</v>
      </c>
      <c r="C155" s="10" t="str">
        <f ca="1">IFERROR(__xludf.DUMMYFUNCTION("""COMPUTED_VALUE"""),"ARS")</f>
        <v>ARS</v>
      </c>
      <c r="D155" s="10" t="str">
        <f ca="1">IFERROR(__xludf.DUMMYFUNCTION("""COMPUTED_VALUE"""),"MS")</f>
        <v>MS</v>
      </c>
      <c r="E155" s="10">
        <f ca="1">IFERROR(__xludf.DUMMYFUNCTION("""COMPUTED_VALUE"""),232)</f>
        <v>232</v>
      </c>
      <c r="F155" s="10">
        <f ca="1">IFERROR(__xludf.DUMMYFUNCTION("""COMPUTED_VALUE"""),5)</f>
        <v>5</v>
      </c>
      <c r="G155" s="10">
        <f ca="1">IFERROR(__xludf.DUMMYFUNCTION("""COMPUTED_VALUE"""),128)</f>
        <v>128</v>
      </c>
      <c r="H155" s="10">
        <f ca="1">IFERROR(__xludf.DUMMYFUNCTION("""COMPUTED_VALUE"""),104)</f>
        <v>104</v>
      </c>
    </row>
    <row r="156" spans="1:8">
      <c r="A156" s="9">
        <f ca="1">IFERROR(__xludf.DUMMYFUNCTION("""COMPUTED_VALUE"""),20057)</f>
        <v>20057</v>
      </c>
      <c r="B156" s="10" t="str">
        <f ca="1">IFERROR(__xludf.DUMMYFUNCTION("""COMPUTED_VALUE"""),"Vera Burnett")</f>
        <v>Vera Burnett</v>
      </c>
      <c r="C156" s="10" t="str">
        <f ca="1">IFERROR(__xludf.DUMMYFUNCTION("""COMPUTED_VALUE"""),"ARS")</f>
        <v>ARS</v>
      </c>
      <c r="D156" s="10" t="str">
        <f ca="1">IFERROR(__xludf.DUMMYFUNCTION("""COMPUTED_VALUE"""),"MS")</f>
        <v>MS</v>
      </c>
      <c r="E156" s="10">
        <f ca="1">IFERROR(__xludf.DUMMYFUNCTION("""COMPUTED_VALUE"""),248)</f>
        <v>248</v>
      </c>
      <c r="F156" s="10">
        <f ca="1">IFERROR(__xludf.DUMMYFUNCTION("""COMPUTED_VALUE"""),6)</f>
        <v>6</v>
      </c>
      <c r="G156" s="10">
        <f ca="1">IFERROR(__xludf.DUMMYFUNCTION("""COMPUTED_VALUE"""),133)</f>
        <v>133</v>
      </c>
      <c r="H156" s="10">
        <f ca="1">IFERROR(__xludf.DUMMYFUNCTION("""COMPUTED_VALUE"""),115)</f>
        <v>115</v>
      </c>
    </row>
    <row r="157" spans="1:8">
      <c r="A157" s="9">
        <f ca="1">IFERROR(__xludf.DUMMYFUNCTION("""COMPUTED_VALUE"""),30001)</f>
        <v>30001</v>
      </c>
      <c r="B157" s="10" t="str">
        <f ca="1">IFERROR(__xludf.DUMMYFUNCTION("""COMPUTED_VALUE"""),"Brooklyn Giles")</f>
        <v>Brooklyn Giles</v>
      </c>
      <c r="C157" s="10" t="str">
        <f ca="1">IFERROR(__xludf.DUMMYFUNCTION("""COMPUTED_VALUE"""),"Austin High School")</f>
        <v>Austin High School</v>
      </c>
      <c r="D157" s="10" t="str">
        <f ca="1">IFERROR(__xludf.DUMMYFUNCTION("""COMPUTED_VALUE"""),"HS")</f>
        <v>HS</v>
      </c>
      <c r="E157" s="10">
        <f ca="1">IFERROR(__xludf.DUMMYFUNCTION("""COMPUTED_VALUE"""),232)</f>
        <v>232</v>
      </c>
      <c r="F157" s="10">
        <f ca="1">IFERROR(__xludf.DUMMYFUNCTION("""COMPUTED_VALUE"""),4)</f>
        <v>4</v>
      </c>
      <c r="G157" s="10">
        <f ca="1">IFERROR(__xludf.DUMMYFUNCTION("""COMPUTED_VALUE"""),129)</f>
        <v>129</v>
      </c>
      <c r="H157" s="10">
        <f ca="1">IFERROR(__xludf.DUMMYFUNCTION("""COMPUTED_VALUE"""),103)</f>
        <v>103</v>
      </c>
    </row>
    <row r="158" spans="1:8">
      <c r="A158" s="9">
        <f ca="1">IFERROR(__xludf.DUMMYFUNCTION("""COMPUTED_VALUE"""),30002)</f>
        <v>30002</v>
      </c>
      <c r="B158" s="10" t="str">
        <f ca="1">IFERROR(__xludf.DUMMYFUNCTION("""COMPUTED_VALUE"""),"Charlie Crouch")</f>
        <v>Charlie Crouch</v>
      </c>
      <c r="C158" s="10" t="str">
        <f ca="1">IFERROR(__xludf.DUMMYFUNCTION("""COMPUTED_VALUE"""),"Austin High School")</f>
        <v>Austin High School</v>
      </c>
      <c r="D158" s="10" t="str">
        <f ca="1">IFERROR(__xludf.DUMMYFUNCTION("""COMPUTED_VALUE"""),"HS")</f>
        <v>HS</v>
      </c>
      <c r="E158" s="10">
        <f ca="1">IFERROR(__xludf.DUMMYFUNCTION("""COMPUTED_VALUE"""),229)</f>
        <v>229</v>
      </c>
      <c r="F158" s="10">
        <f ca="1">IFERROR(__xludf.DUMMYFUNCTION("""COMPUTED_VALUE"""),4)</f>
        <v>4</v>
      </c>
      <c r="G158" s="10">
        <f ca="1">IFERROR(__xludf.DUMMYFUNCTION("""COMPUTED_VALUE"""),118)</f>
        <v>118</v>
      </c>
      <c r="H158" s="10">
        <f ca="1">IFERROR(__xludf.DUMMYFUNCTION("""COMPUTED_VALUE"""),111)</f>
        <v>111</v>
      </c>
    </row>
    <row r="159" spans="1:8">
      <c r="A159" s="9">
        <f ca="1">IFERROR(__xludf.DUMMYFUNCTION("""COMPUTED_VALUE"""),30003)</f>
        <v>30003</v>
      </c>
      <c r="B159" s="10" t="str">
        <f ca="1">IFERROR(__xludf.DUMMYFUNCTION("""COMPUTED_VALUE"""),"Clementine Redman")</f>
        <v>Clementine Redman</v>
      </c>
      <c r="C159" s="10" t="str">
        <f ca="1">IFERROR(__xludf.DUMMYFUNCTION("""COMPUTED_VALUE"""),"Austin High School")</f>
        <v>Austin High School</v>
      </c>
      <c r="D159" s="10" t="str">
        <f ca="1">IFERROR(__xludf.DUMMYFUNCTION("""COMPUTED_VALUE"""),"HS")</f>
        <v>HS</v>
      </c>
      <c r="E159" s="10">
        <f ca="1">IFERROR(__xludf.DUMMYFUNCTION("""COMPUTED_VALUE"""),180)</f>
        <v>180</v>
      </c>
      <c r="F159" s="10">
        <f ca="1">IFERROR(__xludf.DUMMYFUNCTION("""COMPUTED_VALUE"""),5)</f>
        <v>5</v>
      </c>
      <c r="G159" s="10">
        <f ca="1">IFERROR(__xludf.DUMMYFUNCTION("""COMPUTED_VALUE"""),103)</f>
        <v>103</v>
      </c>
      <c r="H159" s="10">
        <f ca="1">IFERROR(__xludf.DUMMYFUNCTION("""COMPUTED_VALUE"""),77)</f>
        <v>77</v>
      </c>
    </row>
    <row r="160" spans="1:8">
      <c r="A160" s="9">
        <f ca="1">IFERROR(__xludf.DUMMYFUNCTION("""COMPUTED_VALUE"""),30004)</f>
        <v>30004</v>
      </c>
      <c r="B160" s="10" t="str">
        <f ca="1">IFERROR(__xludf.DUMMYFUNCTION("""COMPUTED_VALUE"""),"Conrad Taylor")</f>
        <v>Conrad Taylor</v>
      </c>
      <c r="C160" s="10" t="str">
        <f ca="1">IFERROR(__xludf.DUMMYFUNCTION("""COMPUTED_VALUE"""),"Austin High School")</f>
        <v>Austin High School</v>
      </c>
      <c r="D160" s="10" t="str">
        <f ca="1">IFERROR(__xludf.DUMMYFUNCTION("""COMPUTED_VALUE"""),"HS")</f>
        <v>HS</v>
      </c>
      <c r="E160" s="10">
        <f ca="1">IFERROR(__xludf.DUMMYFUNCTION("""COMPUTED_VALUE"""),218)</f>
        <v>218</v>
      </c>
      <c r="F160" s="10">
        <f ca="1">IFERROR(__xludf.DUMMYFUNCTION("""COMPUTED_VALUE"""),3)</f>
        <v>3</v>
      </c>
      <c r="G160" s="10">
        <f ca="1">IFERROR(__xludf.DUMMYFUNCTION("""COMPUTED_VALUE"""),120)</f>
        <v>120</v>
      </c>
      <c r="H160" s="10">
        <f ca="1">IFERROR(__xludf.DUMMYFUNCTION("""COMPUTED_VALUE"""),98)</f>
        <v>98</v>
      </c>
    </row>
    <row r="161" spans="1:8">
      <c r="A161" s="9">
        <f ca="1">IFERROR(__xludf.DUMMYFUNCTION("""COMPUTED_VALUE"""),30005)</f>
        <v>30005</v>
      </c>
      <c r="B161" s="10" t="str">
        <f ca="1">IFERROR(__xludf.DUMMYFUNCTION("""COMPUTED_VALUE"""),"Eshan Lakshmanan-Gulley")</f>
        <v>Eshan Lakshmanan-Gulley</v>
      </c>
      <c r="C161" s="10" t="str">
        <f ca="1">IFERROR(__xludf.DUMMYFUNCTION("""COMPUTED_VALUE"""),"Austin High School")</f>
        <v>Austin High School</v>
      </c>
      <c r="D161" s="10" t="str">
        <f ca="1">IFERROR(__xludf.DUMMYFUNCTION("""COMPUTED_VALUE"""),"HS")</f>
        <v>HS</v>
      </c>
      <c r="E161" s="10">
        <f ca="1">IFERROR(__xludf.DUMMYFUNCTION("""COMPUTED_VALUE"""),220)</f>
        <v>220</v>
      </c>
      <c r="F161" s="10">
        <f ca="1">IFERROR(__xludf.DUMMYFUNCTION("""COMPUTED_VALUE"""),3)</f>
        <v>3</v>
      </c>
      <c r="G161" s="10">
        <f ca="1">IFERROR(__xludf.DUMMYFUNCTION("""COMPUTED_VALUE"""),125)</f>
        <v>125</v>
      </c>
      <c r="H161" s="10">
        <f ca="1">IFERROR(__xludf.DUMMYFUNCTION("""COMPUTED_VALUE"""),95)</f>
        <v>95</v>
      </c>
    </row>
    <row r="162" spans="1:8">
      <c r="A162" s="9">
        <f ca="1">IFERROR(__xludf.DUMMYFUNCTION("""COMPUTED_VALUE"""),30006)</f>
        <v>30006</v>
      </c>
      <c r="B162" s="10" t="str">
        <f ca="1">IFERROR(__xludf.DUMMYFUNCTION("""COMPUTED_VALUE"""),"Evan Kirk")</f>
        <v>Evan Kirk</v>
      </c>
      <c r="C162" s="10" t="str">
        <f ca="1">IFERROR(__xludf.DUMMYFUNCTION("""COMPUTED_VALUE"""),"Austin High School")</f>
        <v>Austin High School</v>
      </c>
      <c r="D162" s="10" t="str">
        <f ca="1">IFERROR(__xludf.DUMMYFUNCTION("""COMPUTED_VALUE"""),"HS")</f>
        <v>HS</v>
      </c>
      <c r="E162" s="10">
        <f ca="1">IFERROR(__xludf.DUMMYFUNCTION("""COMPUTED_VALUE"""),224)</f>
        <v>224</v>
      </c>
      <c r="F162" s="10">
        <f ca="1">IFERROR(__xludf.DUMMYFUNCTION("""COMPUTED_VALUE"""),1)</f>
        <v>1</v>
      </c>
      <c r="G162" s="10">
        <f ca="1">IFERROR(__xludf.DUMMYFUNCTION("""COMPUTED_VALUE"""),113)</f>
        <v>113</v>
      </c>
      <c r="H162" s="10">
        <f ca="1">IFERROR(__xludf.DUMMYFUNCTION("""COMPUTED_VALUE"""),111)</f>
        <v>111</v>
      </c>
    </row>
    <row r="163" spans="1:8">
      <c r="A163" s="9">
        <f ca="1">IFERROR(__xludf.DUMMYFUNCTION("""COMPUTED_VALUE"""),30007)</f>
        <v>30007</v>
      </c>
      <c r="B163" s="10" t="str">
        <f ca="1">IFERROR(__xludf.DUMMYFUNCTION("""COMPUTED_VALUE"""),"Joaquin Cuellar-Rojas")</f>
        <v>Joaquin Cuellar-Rojas</v>
      </c>
      <c r="C163" s="10" t="str">
        <f ca="1">IFERROR(__xludf.DUMMYFUNCTION("""COMPUTED_VALUE"""),"Austin High School")</f>
        <v>Austin High School</v>
      </c>
      <c r="D163" s="10" t="str">
        <f ca="1">IFERROR(__xludf.DUMMYFUNCTION("""COMPUTED_VALUE"""),"HS")</f>
        <v>HS</v>
      </c>
      <c r="E163" s="10">
        <f ca="1">IFERROR(__xludf.DUMMYFUNCTION("""COMPUTED_VALUE"""),253)</f>
        <v>253</v>
      </c>
      <c r="F163" s="10">
        <f ca="1">IFERROR(__xludf.DUMMYFUNCTION("""COMPUTED_VALUE"""),4)</f>
        <v>4</v>
      </c>
      <c r="G163" s="10">
        <f ca="1">IFERROR(__xludf.DUMMYFUNCTION("""COMPUTED_VALUE"""),134)</f>
        <v>134</v>
      </c>
      <c r="H163" s="10">
        <f ca="1">IFERROR(__xludf.DUMMYFUNCTION("""COMPUTED_VALUE"""),119)</f>
        <v>119</v>
      </c>
    </row>
    <row r="164" spans="1:8">
      <c r="A164" s="9">
        <f ca="1">IFERROR(__xludf.DUMMYFUNCTION("""COMPUTED_VALUE"""),30008)</f>
        <v>30008</v>
      </c>
      <c r="B164" s="10" t="str">
        <f ca="1">IFERROR(__xludf.DUMMYFUNCTION("""COMPUTED_VALUE"""),"Kaleb Perez")</f>
        <v>Kaleb Perez</v>
      </c>
      <c r="C164" s="10" t="str">
        <f ca="1">IFERROR(__xludf.DUMMYFUNCTION("""COMPUTED_VALUE"""),"Austin High School")</f>
        <v>Austin High School</v>
      </c>
      <c r="D164" s="10" t="str">
        <f ca="1">IFERROR(__xludf.DUMMYFUNCTION("""COMPUTED_VALUE"""),"HS")</f>
        <v>HS</v>
      </c>
      <c r="E164" s="10">
        <f ca="1">IFERROR(__xludf.DUMMYFUNCTION("""COMPUTED_VALUE"""),195)</f>
        <v>195</v>
      </c>
      <c r="F164" s="10">
        <f ca="1">IFERROR(__xludf.DUMMYFUNCTION("""COMPUTED_VALUE"""),1)</f>
        <v>1</v>
      </c>
      <c r="G164" s="10">
        <f ca="1">IFERROR(__xludf.DUMMYFUNCTION("""COMPUTED_VALUE"""),108)</f>
        <v>108</v>
      </c>
      <c r="H164" s="10">
        <f ca="1">IFERROR(__xludf.DUMMYFUNCTION("""COMPUTED_VALUE"""),87)</f>
        <v>87</v>
      </c>
    </row>
    <row r="165" spans="1:8">
      <c r="A165" s="9">
        <f ca="1">IFERROR(__xludf.DUMMYFUNCTION("""COMPUTED_VALUE"""),30009)</f>
        <v>30009</v>
      </c>
      <c r="B165" s="10" t="str">
        <f ca="1">IFERROR(__xludf.DUMMYFUNCTION("""COMPUTED_VALUE"""),"Leo Tagle")</f>
        <v>Leo Tagle</v>
      </c>
      <c r="C165" s="10" t="str">
        <f ca="1">IFERROR(__xludf.DUMMYFUNCTION("""COMPUTED_VALUE"""),"Austin High School")</f>
        <v>Austin High School</v>
      </c>
      <c r="D165" s="10" t="str">
        <f ca="1">IFERROR(__xludf.DUMMYFUNCTION("""COMPUTED_VALUE"""),"HS")</f>
        <v>HS</v>
      </c>
      <c r="E165" s="10">
        <f ca="1">IFERROR(__xludf.DUMMYFUNCTION("""COMPUTED_VALUE"""),186)</f>
        <v>186</v>
      </c>
      <c r="F165" s="10">
        <f ca="1">IFERROR(__xludf.DUMMYFUNCTION("""COMPUTED_VALUE"""),2)</f>
        <v>2</v>
      </c>
      <c r="G165" s="10">
        <f ca="1">IFERROR(__xludf.DUMMYFUNCTION("""COMPUTED_VALUE"""),100)</f>
        <v>100</v>
      </c>
      <c r="H165" s="10">
        <f ca="1">IFERROR(__xludf.DUMMYFUNCTION("""COMPUTED_VALUE"""),86)</f>
        <v>86</v>
      </c>
    </row>
    <row r="166" spans="1:8">
      <c r="A166" s="9">
        <f ca="1">IFERROR(__xludf.DUMMYFUNCTION("""COMPUTED_VALUE"""),30011)</f>
        <v>30011</v>
      </c>
      <c r="B166" s="10" t="str">
        <f ca="1">IFERROR(__xludf.DUMMYFUNCTION("""COMPUTED_VALUE"""),"Owen Harp")</f>
        <v>Owen Harp</v>
      </c>
      <c r="C166" s="10" t="str">
        <f ca="1">IFERROR(__xludf.DUMMYFUNCTION("""COMPUTED_VALUE"""),"Austin High School")</f>
        <v>Austin High School</v>
      </c>
      <c r="D166" s="10" t="str">
        <f ca="1">IFERROR(__xludf.DUMMYFUNCTION("""COMPUTED_VALUE"""),"HS")</f>
        <v>HS</v>
      </c>
      <c r="E166" s="10">
        <f ca="1">IFERROR(__xludf.DUMMYFUNCTION("""COMPUTED_VALUE"""),271)</f>
        <v>271</v>
      </c>
      <c r="F166" s="10">
        <f ca="1">IFERROR(__xludf.DUMMYFUNCTION("""COMPUTED_VALUE"""),13)</f>
        <v>13</v>
      </c>
      <c r="G166" s="10">
        <f ca="1">IFERROR(__xludf.DUMMYFUNCTION("""COMPUTED_VALUE"""),142)</f>
        <v>142</v>
      </c>
      <c r="H166" s="10">
        <f ca="1">IFERROR(__xludf.DUMMYFUNCTION("""COMPUTED_VALUE"""),129)</f>
        <v>129</v>
      </c>
    </row>
    <row r="167" spans="1:8">
      <c r="A167" s="9">
        <f ca="1">IFERROR(__xludf.DUMMYFUNCTION("""COMPUTED_VALUE"""),30012)</f>
        <v>30012</v>
      </c>
      <c r="B167" s="10" t="str">
        <f ca="1">IFERROR(__xludf.DUMMYFUNCTION("""COMPUTED_VALUE"""),"Pablo Cuellar-Rojas")</f>
        <v>Pablo Cuellar-Rojas</v>
      </c>
      <c r="C167" s="10" t="str">
        <f ca="1">IFERROR(__xludf.DUMMYFUNCTION("""COMPUTED_VALUE"""),"Austin High School")</f>
        <v>Austin High School</v>
      </c>
      <c r="D167" s="10" t="str">
        <f ca="1">IFERROR(__xludf.DUMMYFUNCTION("""COMPUTED_VALUE"""),"HS")</f>
        <v>HS</v>
      </c>
      <c r="E167" s="10">
        <f ca="1">IFERROR(__xludf.DUMMYFUNCTION("""COMPUTED_VALUE"""),262)</f>
        <v>262</v>
      </c>
      <c r="F167" s="10">
        <f ca="1">IFERROR(__xludf.DUMMYFUNCTION("""COMPUTED_VALUE"""),9)</f>
        <v>9</v>
      </c>
      <c r="G167" s="10">
        <f ca="1">IFERROR(__xludf.DUMMYFUNCTION("""COMPUTED_VALUE"""),139)</f>
        <v>139</v>
      </c>
      <c r="H167" s="10">
        <f ca="1">IFERROR(__xludf.DUMMYFUNCTION("""COMPUTED_VALUE"""),123)</f>
        <v>123</v>
      </c>
    </row>
    <row r="168" spans="1:8">
      <c r="A168" s="9">
        <f ca="1">IFERROR(__xludf.DUMMYFUNCTION("""COMPUTED_VALUE"""),30013)</f>
        <v>30013</v>
      </c>
      <c r="B168" s="10" t="str">
        <f ca="1">IFERROR(__xludf.DUMMYFUNCTION("""COMPUTED_VALUE"""),"Peityn Brothwell-Hernandez")</f>
        <v>Peityn Brothwell-Hernandez</v>
      </c>
      <c r="C168" s="10" t="str">
        <f ca="1">IFERROR(__xludf.DUMMYFUNCTION("""COMPUTED_VALUE"""),"Austin High School")</f>
        <v>Austin High School</v>
      </c>
      <c r="D168" s="10" t="str">
        <f ca="1">IFERROR(__xludf.DUMMYFUNCTION("""COMPUTED_VALUE"""),"HS")</f>
        <v>HS</v>
      </c>
      <c r="E168" s="10">
        <f ca="1">IFERROR(__xludf.DUMMYFUNCTION("""COMPUTED_VALUE"""),190)</f>
        <v>190</v>
      </c>
      <c r="F168" s="10">
        <f ca="1">IFERROR(__xludf.DUMMYFUNCTION("""COMPUTED_VALUE"""),0)</f>
        <v>0</v>
      </c>
      <c r="G168" s="10">
        <f ca="1">IFERROR(__xludf.DUMMYFUNCTION("""COMPUTED_VALUE"""),115)</f>
        <v>115</v>
      </c>
      <c r="H168" s="10">
        <f ca="1">IFERROR(__xludf.DUMMYFUNCTION("""COMPUTED_VALUE"""),75)</f>
        <v>75</v>
      </c>
    </row>
    <row r="169" spans="1:8">
      <c r="A169" s="9">
        <f ca="1">IFERROR(__xludf.DUMMYFUNCTION("""COMPUTED_VALUE"""),30014)</f>
        <v>30014</v>
      </c>
      <c r="B169" s="10" t="str">
        <f ca="1">IFERROR(__xludf.DUMMYFUNCTION("""COMPUTED_VALUE"""),"Rose Patterson")</f>
        <v>Rose Patterson</v>
      </c>
      <c r="C169" s="10" t="str">
        <f ca="1">IFERROR(__xludf.DUMMYFUNCTION("""COMPUTED_VALUE"""),"Austin High School")</f>
        <v>Austin High School</v>
      </c>
      <c r="D169" s="10" t="str">
        <f ca="1">IFERROR(__xludf.DUMMYFUNCTION("""COMPUTED_VALUE"""),"HS")</f>
        <v>HS</v>
      </c>
      <c r="E169" s="10">
        <f ca="1">IFERROR(__xludf.DUMMYFUNCTION("""COMPUTED_VALUE"""),220)</f>
        <v>220</v>
      </c>
      <c r="F169" s="10">
        <f ca="1">IFERROR(__xludf.DUMMYFUNCTION("""COMPUTED_VALUE"""),2)</f>
        <v>2</v>
      </c>
      <c r="G169" s="10">
        <f ca="1">IFERROR(__xludf.DUMMYFUNCTION("""COMPUTED_VALUE"""),105)</f>
        <v>105</v>
      </c>
      <c r="H169" s="10">
        <f ca="1">IFERROR(__xludf.DUMMYFUNCTION("""COMPUTED_VALUE"""),115)</f>
        <v>115</v>
      </c>
    </row>
    <row r="170" spans="1:8">
      <c r="A170" s="9">
        <f ca="1">IFERROR(__xludf.DUMMYFUNCTION("""COMPUTED_VALUE"""),40001)</f>
        <v>40001</v>
      </c>
      <c r="B170" s="10" t="str">
        <f ca="1">IFERROR(__xludf.DUMMYFUNCTION("""COMPUTED_VALUE"""),"Alice Nichols")</f>
        <v>Alice Nichols</v>
      </c>
      <c r="C170" s="10" t="str">
        <f ca="1">IFERROR(__xludf.DUMMYFUNCTION("""COMPUTED_VALUE"""),"Brentwood Elementary School")</f>
        <v>Brentwood Elementary School</v>
      </c>
      <c r="D170" s="10" t="str">
        <f ca="1">IFERROR(__xludf.DUMMYFUNCTION("""COMPUTED_VALUE"""),"ES")</f>
        <v>ES</v>
      </c>
      <c r="E170" s="10">
        <f ca="1">IFERROR(__xludf.DUMMYFUNCTION("""COMPUTED_VALUE"""),182)</f>
        <v>182</v>
      </c>
      <c r="F170" s="10">
        <f ca="1">IFERROR(__xludf.DUMMYFUNCTION("""COMPUTED_VALUE"""),1)</f>
        <v>1</v>
      </c>
      <c r="G170" s="10">
        <f ca="1">IFERROR(__xludf.DUMMYFUNCTION("""COMPUTED_VALUE"""),89)</f>
        <v>89</v>
      </c>
      <c r="H170" s="10">
        <f ca="1">IFERROR(__xludf.DUMMYFUNCTION("""COMPUTED_VALUE"""),93)</f>
        <v>93</v>
      </c>
    </row>
    <row r="171" spans="1:8">
      <c r="A171" s="9">
        <f ca="1">IFERROR(__xludf.DUMMYFUNCTION("""COMPUTED_VALUE"""),40002)</f>
        <v>40002</v>
      </c>
      <c r="B171" s="10" t="str">
        <f ca="1">IFERROR(__xludf.DUMMYFUNCTION("""COMPUTED_VALUE"""),"Ana Benavidez Fisher")</f>
        <v>Ana Benavidez Fisher</v>
      </c>
      <c r="C171" s="10" t="str">
        <f ca="1">IFERROR(__xludf.DUMMYFUNCTION("""COMPUTED_VALUE"""),"Brentwood Elementary School")</f>
        <v>Brentwood Elementary School</v>
      </c>
      <c r="D171" s="10" t="str">
        <f ca="1">IFERROR(__xludf.DUMMYFUNCTION("""COMPUTED_VALUE"""),"ES")</f>
        <v>ES</v>
      </c>
      <c r="E171" s="10">
        <f ca="1">IFERROR(__xludf.DUMMYFUNCTION("""COMPUTED_VALUE"""),109)</f>
        <v>109</v>
      </c>
      <c r="F171" s="10">
        <f ca="1">IFERROR(__xludf.DUMMYFUNCTION("""COMPUTED_VALUE"""),0)</f>
        <v>0</v>
      </c>
      <c r="G171" s="10">
        <f ca="1">IFERROR(__xludf.DUMMYFUNCTION("""COMPUTED_VALUE"""),87)</f>
        <v>87</v>
      </c>
      <c r="H171" s="10">
        <f ca="1">IFERROR(__xludf.DUMMYFUNCTION("""COMPUTED_VALUE"""),22)</f>
        <v>22</v>
      </c>
    </row>
    <row r="172" spans="1:8">
      <c r="A172" s="9">
        <f ca="1">IFERROR(__xludf.DUMMYFUNCTION("""COMPUTED_VALUE"""),40003)</f>
        <v>40003</v>
      </c>
      <c r="B172" s="10" t="str">
        <f ca="1">IFERROR(__xludf.DUMMYFUNCTION("""COMPUTED_VALUE"""),"Audrey Burleson-Davis")</f>
        <v>Audrey Burleson-Davis</v>
      </c>
      <c r="C172" s="10" t="str">
        <f ca="1">IFERROR(__xludf.DUMMYFUNCTION("""COMPUTED_VALUE"""),"Brentwood Elementary School")</f>
        <v>Brentwood Elementary School</v>
      </c>
      <c r="D172" s="10" t="str">
        <f ca="1">IFERROR(__xludf.DUMMYFUNCTION("""COMPUTED_VALUE"""),"ES")</f>
        <v>ES</v>
      </c>
      <c r="E172" s="10">
        <f ca="1">IFERROR(__xludf.DUMMYFUNCTION("""COMPUTED_VALUE"""),139)</f>
        <v>139</v>
      </c>
      <c r="F172" s="10">
        <f ca="1">IFERROR(__xludf.DUMMYFUNCTION("""COMPUTED_VALUE"""),0)</f>
        <v>0</v>
      </c>
      <c r="G172" s="10">
        <f ca="1">IFERROR(__xludf.DUMMYFUNCTION("""COMPUTED_VALUE"""),67)</f>
        <v>67</v>
      </c>
      <c r="H172" s="10">
        <f ca="1">IFERROR(__xludf.DUMMYFUNCTION("""COMPUTED_VALUE"""),72)</f>
        <v>72</v>
      </c>
    </row>
    <row r="173" spans="1:8">
      <c r="A173" s="9">
        <f ca="1">IFERROR(__xludf.DUMMYFUNCTION("""COMPUTED_VALUE"""),40004)</f>
        <v>40004</v>
      </c>
      <c r="B173" s="10" t="str">
        <f ca="1">IFERROR(__xludf.DUMMYFUNCTION("""COMPUTED_VALUE"""),"Connor Gillis")</f>
        <v>Connor Gillis</v>
      </c>
      <c r="C173" s="10" t="str">
        <f ca="1">IFERROR(__xludf.DUMMYFUNCTION("""COMPUTED_VALUE"""),"Brentwood Elementary School")</f>
        <v>Brentwood Elementary School</v>
      </c>
      <c r="D173" s="10" t="str">
        <f ca="1">IFERROR(__xludf.DUMMYFUNCTION("""COMPUTED_VALUE"""),"ES")</f>
        <v>ES</v>
      </c>
      <c r="E173" s="10">
        <f ca="1">IFERROR(__xludf.DUMMYFUNCTION("""COMPUTED_VALUE"""),139)</f>
        <v>139</v>
      </c>
      <c r="F173" s="10">
        <f ca="1">IFERROR(__xludf.DUMMYFUNCTION("""COMPUTED_VALUE"""),1)</f>
        <v>1</v>
      </c>
      <c r="G173" s="10">
        <f ca="1">IFERROR(__xludf.DUMMYFUNCTION("""COMPUTED_VALUE"""),113)</f>
        <v>113</v>
      </c>
      <c r="H173" s="10">
        <f ca="1">IFERROR(__xludf.DUMMYFUNCTION("""COMPUTED_VALUE"""),26)</f>
        <v>26</v>
      </c>
    </row>
    <row r="174" spans="1:8">
      <c r="A174" s="9">
        <f ca="1">IFERROR(__xludf.DUMMYFUNCTION("""COMPUTED_VALUE"""),40005)</f>
        <v>40005</v>
      </c>
      <c r="B174" s="10" t="str">
        <f ca="1">IFERROR(__xludf.DUMMYFUNCTION("""COMPUTED_VALUE"""),"Crosby Browder")</f>
        <v>Crosby Browder</v>
      </c>
      <c r="C174" s="10" t="str">
        <f ca="1">IFERROR(__xludf.DUMMYFUNCTION("""COMPUTED_VALUE"""),"Brentwood Elementary School")</f>
        <v>Brentwood Elementary School</v>
      </c>
      <c r="D174" s="10" t="str">
        <f ca="1">IFERROR(__xludf.DUMMYFUNCTION("""COMPUTED_VALUE"""),"ES")</f>
        <v>ES</v>
      </c>
      <c r="E174" s="10">
        <f ca="1">IFERROR(__xludf.DUMMYFUNCTION("""COMPUTED_VALUE"""),222)</f>
        <v>222</v>
      </c>
      <c r="F174" s="10">
        <f ca="1">IFERROR(__xludf.DUMMYFUNCTION("""COMPUTED_VALUE"""),7)</f>
        <v>7</v>
      </c>
      <c r="G174" s="10">
        <f ca="1">IFERROR(__xludf.DUMMYFUNCTION("""COMPUTED_VALUE"""),118)</f>
        <v>118</v>
      </c>
      <c r="H174" s="10">
        <f ca="1">IFERROR(__xludf.DUMMYFUNCTION("""COMPUTED_VALUE"""),104)</f>
        <v>104</v>
      </c>
    </row>
    <row r="175" spans="1:8">
      <c r="A175" s="9">
        <f ca="1">IFERROR(__xludf.DUMMYFUNCTION("""COMPUTED_VALUE"""),40006)</f>
        <v>40006</v>
      </c>
      <c r="B175" s="10" t="str">
        <f ca="1">IFERROR(__xludf.DUMMYFUNCTION("""COMPUTED_VALUE"""),"Duke Lott")</f>
        <v>Duke Lott</v>
      </c>
      <c r="C175" s="10" t="str">
        <f ca="1">IFERROR(__xludf.DUMMYFUNCTION("""COMPUTED_VALUE"""),"Brentwood Elementary School")</f>
        <v>Brentwood Elementary School</v>
      </c>
      <c r="D175" s="10" t="str">
        <f ca="1">IFERROR(__xludf.DUMMYFUNCTION("""COMPUTED_VALUE"""),"ES")</f>
        <v>ES</v>
      </c>
      <c r="E175" s="10">
        <f ca="1">IFERROR(__xludf.DUMMYFUNCTION("""COMPUTED_VALUE"""),207)</f>
        <v>207</v>
      </c>
      <c r="F175" s="10">
        <f ca="1">IFERROR(__xludf.DUMMYFUNCTION("""COMPUTED_VALUE"""),0)</f>
        <v>0</v>
      </c>
      <c r="G175" s="10">
        <f ca="1">IFERROR(__xludf.DUMMYFUNCTION("""COMPUTED_VALUE"""),112)</f>
        <v>112</v>
      </c>
      <c r="H175" s="10">
        <f ca="1">IFERROR(__xludf.DUMMYFUNCTION("""COMPUTED_VALUE"""),95)</f>
        <v>95</v>
      </c>
    </row>
    <row r="176" spans="1:8">
      <c r="A176" s="9">
        <f ca="1">IFERROR(__xludf.DUMMYFUNCTION("""COMPUTED_VALUE"""),40007)</f>
        <v>40007</v>
      </c>
      <c r="B176" s="10" t="str">
        <f ca="1">IFERROR(__xludf.DUMMYFUNCTION("""COMPUTED_VALUE"""),"Fawkes Hendrie")</f>
        <v>Fawkes Hendrie</v>
      </c>
      <c r="C176" s="10" t="str">
        <f ca="1">IFERROR(__xludf.DUMMYFUNCTION("""COMPUTED_VALUE"""),"Brentwood Elementary School")</f>
        <v>Brentwood Elementary School</v>
      </c>
      <c r="D176" s="10" t="str">
        <f ca="1">IFERROR(__xludf.DUMMYFUNCTION("""COMPUTED_VALUE"""),"ES")</f>
        <v>ES</v>
      </c>
      <c r="E176" s="10">
        <f ca="1">IFERROR(__xludf.DUMMYFUNCTION("""COMPUTED_VALUE"""),252)</f>
        <v>252</v>
      </c>
      <c r="F176" s="10">
        <f ca="1">IFERROR(__xludf.DUMMYFUNCTION("""COMPUTED_VALUE"""),7)</f>
        <v>7</v>
      </c>
      <c r="G176" s="10">
        <f ca="1">IFERROR(__xludf.DUMMYFUNCTION("""COMPUTED_VALUE"""),130)</f>
        <v>130</v>
      </c>
      <c r="H176" s="10">
        <f ca="1">IFERROR(__xludf.DUMMYFUNCTION("""COMPUTED_VALUE"""),122)</f>
        <v>122</v>
      </c>
    </row>
    <row r="177" spans="1:8">
      <c r="A177" s="9">
        <f ca="1">IFERROR(__xludf.DUMMYFUNCTION("""COMPUTED_VALUE"""),40008)</f>
        <v>40008</v>
      </c>
      <c r="B177" s="10" t="str">
        <f ca="1">IFERROR(__xludf.DUMMYFUNCTION("""COMPUTED_VALUE"""),"Hamza Siegel")</f>
        <v>Hamza Siegel</v>
      </c>
      <c r="C177" s="10" t="str">
        <f ca="1">IFERROR(__xludf.DUMMYFUNCTION("""COMPUTED_VALUE"""),"Brentwood Elementary School")</f>
        <v>Brentwood Elementary School</v>
      </c>
      <c r="D177" s="10" t="str">
        <f ca="1">IFERROR(__xludf.DUMMYFUNCTION("""COMPUTED_VALUE"""),"ES")</f>
        <v>ES</v>
      </c>
      <c r="E177" s="10">
        <f ca="1">IFERROR(__xludf.DUMMYFUNCTION("""COMPUTED_VALUE"""),148)</f>
        <v>148</v>
      </c>
      <c r="F177" s="10">
        <f ca="1">IFERROR(__xludf.DUMMYFUNCTION("""COMPUTED_VALUE"""),3)</f>
        <v>3</v>
      </c>
      <c r="G177" s="10">
        <f ca="1">IFERROR(__xludf.DUMMYFUNCTION("""COMPUTED_VALUE"""),88)</f>
        <v>88</v>
      </c>
      <c r="H177" s="10">
        <f ca="1">IFERROR(__xludf.DUMMYFUNCTION("""COMPUTED_VALUE"""),60)</f>
        <v>60</v>
      </c>
    </row>
    <row r="178" spans="1:8">
      <c r="A178" s="9">
        <f ca="1">IFERROR(__xludf.DUMMYFUNCTION("""COMPUTED_VALUE"""),40009)</f>
        <v>40009</v>
      </c>
      <c r="B178" s="10" t="str">
        <f ca="1">IFERROR(__xludf.DUMMYFUNCTION("""COMPUTED_VALUE"""),"Hank Truty")</f>
        <v>Hank Truty</v>
      </c>
      <c r="C178" s="10" t="str">
        <f ca="1">IFERROR(__xludf.DUMMYFUNCTION("""COMPUTED_VALUE"""),"Brentwood Elementary School")</f>
        <v>Brentwood Elementary School</v>
      </c>
      <c r="D178" s="10" t="str">
        <f ca="1">IFERROR(__xludf.DUMMYFUNCTION("""COMPUTED_VALUE"""),"ES")</f>
        <v>ES</v>
      </c>
      <c r="E178" s="10">
        <f ca="1">IFERROR(__xludf.DUMMYFUNCTION("""COMPUTED_VALUE"""),212)</f>
        <v>212</v>
      </c>
      <c r="F178" s="10">
        <f ca="1">IFERROR(__xludf.DUMMYFUNCTION("""COMPUTED_VALUE"""),3)</f>
        <v>3</v>
      </c>
      <c r="G178" s="10">
        <f ca="1">IFERROR(__xludf.DUMMYFUNCTION("""COMPUTED_VALUE"""),124)</f>
        <v>124</v>
      </c>
      <c r="H178" s="10">
        <f ca="1">IFERROR(__xludf.DUMMYFUNCTION("""COMPUTED_VALUE"""),88)</f>
        <v>88</v>
      </c>
    </row>
    <row r="179" spans="1:8">
      <c r="A179" s="9">
        <f ca="1">IFERROR(__xludf.DUMMYFUNCTION("""COMPUTED_VALUE"""),40010)</f>
        <v>40010</v>
      </c>
      <c r="B179" s="10" t="str">
        <f ca="1">IFERROR(__xludf.DUMMYFUNCTION("""COMPUTED_VALUE"""),"Hawk Norman")</f>
        <v>Hawk Norman</v>
      </c>
      <c r="C179" s="10" t="str">
        <f ca="1">IFERROR(__xludf.DUMMYFUNCTION("""COMPUTED_VALUE"""),"Brentwood Elementary School")</f>
        <v>Brentwood Elementary School</v>
      </c>
      <c r="D179" s="10" t="str">
        <f ca="1">IFERROR(__xludf.DUMMYFUNCTION("""COMPUTED_VALUE"""),"ES")</f>
        <v>ES</v>
      </c>
      <c r="E179" s="10">
        <f ca="1">IFERROR(__xludf.DUMMYFUNCTION("""COMPUTED_VALUE"""),182)</f>
        <v>182</v>
      </c>
      <c r="F179" s="10">
        <f ca="1">IFERROR(__xludf.DUMMYFUNCTION("""COMPUTED_VALUE"""),1)</f>
        <v>1</v>
      </c>
      <c r="G179" s="10">
        <f ca="1">IFERROR(__xludf.DUMMYFUNCTION("""COMPUTED_VALUE"""),117)</f>
        <v>117</v>
      </c>
      <c r="H179" s="10">
        <f ca="1">IFERROR(__xludf.DUMMYFUNCTION("""COMPUTED_VALUE"""),65)</f>
        <v>65</v>
      </c>
    </row>
    <row r="180" spans="1:8">
      <c r="A180" s="9">
        <f ca="1">IFERROR(__xludf.DUMMYFUNCTION("""COMPUTED_VALUE"""),40011)</f>
        <v>40011</v>
      </c>
      <c r="B180" s="10" t="str">
        <f ca="1">IFERROR(__xludf.DUMMYFUNCTION("""COMPUTED_VALUE"""),"Ila Wright")</f>
        <v>Ila Wright</v>
      </c>
      <c r="C180" s="10" t="str">
        <f ca="1">IFERROR(__xludf.DUMMYFUNCTION("""COMPUTED_VALUE"""),"Brentwood Elementary School")</f>
        <v>Brentwood Elementary School</v>
      </c>
      <c r="D180" s="10" t="str">
        <f ca="1">IFERROR(__xludf.DUMMYFUNCTION("""COMPUTED_VALUE"""),"ES")</f>
        <v>ES</v>
      </c>
      <c r="E180" s="10">
        <f ca="1">IFERROR(__xludf.DUMMYFUNCTION("""COMPUTED_VALUE"""),231)</f>
        <v>231</v>
      </c>
      <c r="F180" s="10">
        <f ca="1">IFERROR(__xludf.DUMMYFUNCTION("""COMPUTED_VALUE"""),3)</f>
        <v>3</v>
      </c>
      <c r="G180" s="10">
        <f ca="1">IFERROR(__xludf.DUMMYFUNCTION("""COMPUTED_VALUE"""),132)</f>
        <v>132</v>
      </c>
      <c r="H180" s="10">
        <f ca="1">IFERROR(__xludf.DUMMYFUNCTION("""COMPUTED_VALUE"""),99)</f>
        <v>99</v>
      </c>
    </row>
    <row r="181" spans="1:8">
      <c r="A181" s="9">
        <f ca="1">IFERROR(__xludf.DUMMYFUNCTION("""COMPUTED_VALUE"""),40012)</f>
        <v>40012</v>
      </c>
      <c r="B181" s="10" t="str">
        <f ca="1">IFERROR(__xludf.DUMMYFUNCTION("""COMPUTED_VALUE"""),"Lexie Marr")</f>
        <v>Lexie Marr</v>
      </c>
      <c r="C181" s="10" t="str">
        <f ca="1">IFERROR(__xludf.DUMMYFUNCTION("""COMPUTED_VALUE"""),"Brentwood Elementary School")</f>
        <v>Brentwood Elementary School</v>
      </c>
      <c r="D181" s="10" t="str">
        <f ca="1">IFERROR(__xludf.DUMMYFUNCTION("""COMPUTED_VALUE"""),"ES")</f>
        <v>ES</v>
      </c>
      <c r="E181" s="10">
        <f ca="1">IFERROR(__xludf.DUMMYFUNCTION("""COMPUTED_VALUE"""),220)</f>
        <v>220</v>
      </c>
      <c r="F181" s="10">
        <f ca="1">IFERROR(__xludf.DUMMYFUNCTION("""COMPUTED_VALUE"""),5)</f>
        <v>5</v>
      </c>
      <c r="G181" s="10">
        <f ca="1">IFERROR(__xludf.DUMMYFUNCTION("""COMPUTED_VALUE"""),126)</f>
        <v>126</v>
      </c>
      <c r="H181" s="10">
        <f ca="1">IFERROR(__xludf.DUMMYFUNCTION("""COMPUTED_VALUE"""),94)</f>
        <v>94</v>
      </c>
    </row>
    <row r="182" spans="1:8">
      <c r="A182" s="9">
        <f ca="1">IFERROR(__xludf.DUMMYFUNCTION("""COMPUTED_VALUE"""),40013)</f>
        <v>40013</v>
      </c>
      <c r="B182" s="10" t="str">
        <f ca="1">IFERROR(__xludf.DUMMYFUNCTION("""COMPUTED_VALUE"""),"Lisa Lickteig")</f>
        <v>Lisa Lickteig</v>
      </c>
      <c r="C182" s="10" t="str">
        <f ca="1">IFERROR(__xludf.DUMMYFUNCTION("""COMPUTED_VALUE"""),"Brentwood Elementary School")</f>
        <v>Brentwood Elementary School</v>
      </c>
      <c r="D182" s="10" t="str">
        <f ca="1">IFERROR(__xludf.DUMMYFUNCTION("""COMPUTED_VALUE"""),"ES")</f>
        <v>ES</v>
      </c>
      <c r="E182" s="10">
        <f ca="1">IFERROR(__xludf.DUMMYFUNCTION("""COMPUTED_VALUE"""),176)</f>
        <v>176</v>
      </c>
      <c r="F182" s="10">
        <f ca="1">IFERROR(__xludf.DUMMYFUNCTION("""COMPUTED_VALUE"""),2)</f>
        <v>2</v>
      </c>
      <c r="G182" s="10">
        <f ca="1">IFERROR(__xludf.DUMMYFUNCTION("""COMPUTED_VALUE"""),100)</f>
        <v>100</v>
      </c>
      <c r="H182" s="10">
        <f ca="1">IFERROR(__xludf.DUMMYFUNCTION("""COMPUTED_VALUE"""),76)</f>
        <v>76</v>
      </c>
    </row>
    <row r="183" spans="1:8">
      <c r="A183" s="9">
        <f ca="1">IFERROR(__xludf.DUMMYFUNCTION("""COMPUTED_VALUE"""),40014)</f>
        <v>40014</v>
      </c>
      <c r="B183" s="10" t="str">
        <f ca="1">IFERROR(__xludf.DUMMYFUNCTION("""COMPUTED_VALUE"""),"Liza Young")</f>
        <v>Liza Young</v>
      </c>
      <c r="C183" s="10" t="str">
        <f ca="1">IFERROR(__xludf.DUMMYFUNCTION("""COMPUTED_VALUE"""),"Brentwood Elementary School")</f>
        <v>Brentwood Elementary School</v>
      </c>
      <c r="D183" s="10" t="str">
        <f ca="1">IFERROR(__xludf.DUMMYFUNCTION("""COMPUTED_VALUE"""),"ES")</f>
        <v>ES</v>
      </c>
      <c r="E183" s="10">
        <f ca="1">IFERROR(__xludf.DUMMYFUNCTION("""COMPUTED_VALUE"""),229)</f>
        <v>229</v>
      </c>
      <c r="F183" s="10">
        <f ca="1">IFERROR(__xludf.DUMMYFUNCTION("""COMPUTED_VALUE"""),3)</f>
        <v>3</v>
      </c>
      <c r="G183" s="10">
        <f ca="1">IFERROR(__xludf.DUMMYFUNCTION("""COMPUTED_VALUE"""),128)</f>
        <v>128</v>
      </c>
      <c r="H183" s="10">
        <f ca="1">IFERROR(__xludf.DUMMYFUNCTION("""COMPUTED_VALUE"""),101)</f>
        <v>101</v>
      </c>
    </row>
    <row r="184" spans="1:8">
      <c r="A184" s="9">
        <f ca="1">IFERROR(__xludf.DUMMYFUNCTION("""COMPUTED_VALUE"""),40015)</f>
        <v>40015</v>
      </c>
      <c r="B184" s="10" t="str">
        <f ca="1">IFERROR(__xludf.DUMMYFUNCTION("""COMPUTED_VALUE"""),"Margaret Thomason")</f>
        <v>Margaret Thomason</v>
      </c>
      <c r="C184" s="10" t="str">
        <f ca="1">IFERROR(__xludf.DUMMYFUNCTION("""COMPUTED_VALUE"""),"Brentwood Elementary School")</f>
        <v>Brentwood Elementary School</v>
      </c>
      <c r="D184" s="10" t="str">
        <f ca="1">IFERROR(__xludf.DUMMYFUNCTION("""COMPUTED_VALUE"""),"ES")</f>
        <v>ES</v>
      </c>
      <c r="E184" s="10">
        <f ca="1">IFERROR(__xludf.DUMMYFUNCTION("""COMPUTED_VALUE"""),186)</f>
        <v>186</v>
      </c>
      <c r="F184" s="10">
        <f ca="1">IFERROR(__xludf.DUMMYFUNCTION("""COMPUTED_VALUE"""),2)</f>
        <v>2</v>
      </c>
      <c r="G184" s="10">
        <f ca="1">IFERROR(__xludf.DUMMYFUNCTION("""COMPUTED_VALUE"""),121)</f>
        <v>121</v>
      </c>
      <c r="H184" s="10">
        <f ca="1">IFERROR(__xludf.DUMMYFUNCTION("""COMPUTED_VALUE"""),65)</f>
        <v>65</v>
      </c>
    </row>
    <row r="185" spans="1:8">
      <c r="A185" s="9">
        <f ca="1">IFERROR(__xludf.DUMMYFUNCTION("""COMPUTED_VALUE"""),40016)</f>
        <v>40016</v>
      </c>
      <c r="B185" s="10" t="str">
        <f ca="1">IFERROR(__xludf.DUMMYFUNCTION("""COMPUTED_VALUE"""),"Margot Schumaker")</f>
        <v>Margot Schumaker</v>
      </c>
      <c r="C185" s="10" t="str">
        <f ca="1">IFERROR(__xludf.DUMMYFUNCTION("""COMPUTED_VALUE"""),"Brentwood Elementary School")</f>
        <v>Brentwood Elementary School</v>
      </c>
      <c r="D185" s="10" t="str">
        <f ca="1">IFERROR(__xludf.DUMMYFUNCTION("""COMPUTED_VALUE"""),"ES")</f>
        <v>ES</v>
      </c>
      <c r="E185" s="10">
        <f ca="1">IFERROR(__xludf.DUMMYFUNCTION("""COMPUTED_VALUE"""),129)</f>
        <v>129</v>
      </c>
      <c r="F185" s="10">
        <f ca="1">IFERROR(__xludf.DUMMYFUNCTION("""COMPUTED_VALUE"""),0)</f>
        <v>0</v>
      </c>
      <c r="G185" s="10">
        <f ca="1">IFERROR(__xludf.DUMMYFUNCTION("""COMPUTED_VALUE"""),72)</f>
        <v>72</v>
      </c>
      <c r="H185" s="10">
        <f ca="1">IFERROR(__xludf.DUMMYFUNCTION("""COMPUTED_VALUE"""),57)</f>
        <v>57</v>
      </c>
    </row>
    <row r="186" spans="1:8">
      <c r="A186" s="9">
        <f ca="1">IFERROR(__xludf.DUMMYFUNCTION("""COMPUTED_VALUE"""),40017)</f>
        <v>40017</v>
      </c>
      <c r="B186" s="10" t="str">
        <f ca="1">IFERROR(__xludf.DUMMYFUNCTION("""COMPUTED_VALUE"""),"Matthew Swaim")</f>
        <v>Matthew Swaim</v>
      </c>
      <c r="C186" s="10" t="str">
        <f ca="1">IFERROR(__xludf.DUMMYFUNCTION("""COMPUTED_VALUE"""),"Brentwood Elementary School")</f>
        <v>Brentwood Elementary School</v>
      </c>
      <c r="D186" s="10" t="str">
        <f ca="1">IFERROR(__xludf.DUMMYFUNCTION("""COMPUTED_VALUE"""),"ES")</f>
        <v>ES</v>
      </c>
      <c r="E186" s="10">
        <f ca="1">IFERROR(__xludf.DUMMYFUNCTION("""COMPUTED_VALUE"""),179)</f>
        <v>179</v>
      </c>
      <c r="F186" s="10">
        <f ca="1">IFERROR(__xludf.DUMMYFUNCTION("""COMPUTED_VALUE"""),1)</f>
        <v>1</v>
      </c>
      <c r="G186" s="10">
        <f ca="1">IFERROR(__xludf.DUMMYFUNCTION("""COMPUTED_VALUE"""),104)</f>
        <v>104</v>
      </c>
      <c r="H186" s="10">
        <f ca="1">IFERROR(__xludf.DUMMYFUNCTION("""COMPUTED_VALUE"""),75)</f>
        <v>75</v>
      </c>
    </row>
    <row r="187" spans="1:8">
      <c r="A187" s="9">
        <f ca="1">IFERROR(__xludf.DUMMYFUNCTION("""COMPUTED_VALUE"""),40018)</f>
        <v>40018</v>
      </c>
      <c r="B187" s="10" t="str">
        <f ca="1">IFERROR(__xludf.DUMMYFUNCTION("""COMPUTED_VALUE"""),"Robin Curry")</f>
        <v>Robin Curry</v>
      </c>
      <c r="C187" s="10" t="str">
        <f ca="1">IFERROR(__xludf.DUMMYFUNCTION("""COMPUTED_VALUE"""),"Brentwood Elementary School")</f>
        <v>Brentwood Elementary School</v>
      </c>
      <c r="D187" s="10" t="str">
        <f ca="1">IFERROR(__xludf.DUMMYFUNCTION("""COMPUTED_VALUE"""),"ES")</f>
        <v>ES</v>
      </c>
      <c r="E187" s="10" t="str">
        <f ca="1">IFERROR(__xludf.DUMMYFUNCTION("""COMPUTED_VALUE"""),"Posting")</f>
        <v>Posting</v>
      </c>
      <c r="F187" s="10" t="str">
        <f ca="1">IFERROR(__xludf.DUMMYFUNCTION("""COMPUTED_VALUE"""),"Posting")</f>
        <v>Posting</v>
      </c>
      <c r="G187" s="10" t="str">
        <f ca="1">IFERROR(__xludf.DUMMYFUNCTION("""COMPUTED_VALUE"""),"Posting")</f>
        <v>Posting</v>
      </c>
      <c r="H187" s="10" t="str">
        <f ca="1">IFERROR(__xludf.DUMMYFUNCTION("""COMPUTED_VALUE"""),"Posting")</f>
        <v>Posting</v>
      </c>
    </row>
    <row r="188" spans="1:8">
      <c r="A188" s="9">
        <f ca="1">IFERROR(__xludf.DUMMYFUNCTION("""COMPUTED_VALUE"""),40019)</f>
        <v>40019</v>
      </c>
      <c r="B188" s="10" t="str">
        <f ca="1">IFERROR(__xludf.DUMMYFUNCTION("""COMPUTED_VALUE"""),"Stella Sumers")</f>
        <v>Stella Sumers</v>
      </c>
      <c r="C188" s="10" t="str">
        <f ca="1">IFERROR(__xludf.DUMMYFUNCTION("""COMPUTED_VALUE"""),"Brentwood Elementary School")</f>
        <v>Brentwood Elementary School</v>
      </c>
      <c r="D188" s="10" t="str">
        <f ca="1">IFERROR(__xludf.DUMMYFUNCTION("""COMPUTED_VALUE"""),"ES")</f>
        <v>ES</v>
      </c>
      <c r="E188" s="10">
        <f ca="1">IFERROR(__xludf.DUMMYFUNCTION("""COMPUTED_VALUE"""),191)</f>
        <v>191</v>
      </c>
      <c r="F188" s="10">
        <f ca="1">IFERROR(__xludf.DUMMYFUNCTION("""COMPUTED_VALUE"""),1)</f>
        <v>1</v>
      </c>
      <c r="G188" s="10">
        <f ca="1">IFERROR(__xludf.DUMMYFUNCTION("""COMPUTED_VALUE"""),112)</f>
        <v>112</v>
      </c>
      <c r="H188" s="10">
        <f ca="1">IFERROR(__xludf.DUMMYFUNCTION("""COMPUTED_VALUE"""),79)</f>
        <v>79</v>
      </c>
    </row>
    <row r="189" spans="1:8">
      <c r="A189" s="9">
        <f ca="1">IFERROR(__xludf.DUMMYFUNCTION("""COMPUTED_VALUE"""),40020)</f>
        <v>40020</v>
      </c>
      <c r="B189" s="10" t="str">
        <f ca="1">IFERROR(__xludf.DUMMYFUNCTION("""COMPUTED_VALUE"""),"Stella Mia Mercado Rodriguez")</f>
        <v>Stella Mia Mercado Rodriguez</v>
      </c>
      <c r="C189" s="10" t="str">
        <f ca="1">IFERROR(__xludf.DUMMYFUNCTION("""COMPUTED_VALUE"""),"Brentwood Elementary School")</f>
        <v>Brentwood Elementary School</v>
      </c>
      <c r="D189" s="10" t="str">
        <f ca="1">IFERROR(__xludf.DUMMYFUNCTION("""COMPUTED_VALUE"""),"ES")</f>
        <v>ES</v>
      </c>
      <c r="E189" s="10">
        <f ca="1">IFERROR(__xludf.DUMMYFUNCTION("""COMPUTED_VALUE"""),141)</f>
        <v>141</v>
      </c>
      <c r="F189" s="10">
        <f ca="1">IFERROR(__xludf.DUMMYFUNCTION("""COMPUTED_VALUE"""),2)</f>
        <v>2</v>
      </c>
      <c r="G189" s="10">
        <f ca="1">IFERROR(__xludf.DUMMYFUNCTION("""COMPUTED_VALUE"""),86)</f>
        <v>86</v>
      </c>
      <c r="H189" s="10">
        <f ca="1">IFERROR(__xludf.DUMMYFUNCTION("""COMPUTED_VALUE"""),55)</f>
        <v>55</v>
      </c>
    </row>
    <row r="190" spans="1:8">
      <c r="A190" s="9">
        <f ca="1">IFERROR(__xludf.DUMMYFUNCTION("""COMPUTED_VALUE"""),40021)</f>
        <v>40021</v>
      </c>
      <c r="B190" s="10" t="str">
        <f ca="1">IFERROR(__xludf.DUMMYFUNCTION("""COMPUTED_VALUE"""),"Tom Sawicki")</f>
        <v>Tom Sawicki</v>
      </c>
      <c r="C190" s="10" t="str">
        <f ca="1">IFERROR(__xludf.DUMMYFUNCTION("""COMPUTED_VALUE"""),"Brentwood Elementary School")</f>
        <v>Brentwood Elementary School</v>
      </c>
      <c r="D190" s="10" t="str">
        <f ca="1">IFERROR(__xludf.DUMMYFUNCTION("""COMPUTED_VALUE"""),"ES")</f>
        <v>ES</v>
      </c>
      <c r="E190" s="10">
        <f ca="1">IFERROR(__xludf.DUMMYFUNCTION("""COMPUTED_VALUE"""),115)</f>
        <v>115</v>
      </c>
      <c r="F190" s="10">
        <f ca="1">IFERROR(__xludf.DUMMYFUNCTION("""COMPUTED_VALUE"""),0)</f>
        <v>0</v>
      </c>
      <c r="G190" s="10">
        <f ca="1">IFERROR(__xludf.DUMMYFUNCTION("""COMPUTED_VALUE"""),100)</f>
        <v>100</v>
      </c>
      <c r="H190" s="10">
        <f ca="1">IFERROR(__xludf.DUMMYFUNCTION("""COMPUTED_VALUE"""),15)</f>
        <v>15</v>
      </c>
    </row>
    <row r="191" spans="1:8">
      <c r="A191" s="9">
        <f ca="1">IFERROR(__xludf.DUMMYFUNCTION("""COMPUTED_VALUE"""),40022)</f>
        <v>40022</v>
      </c>
      <c r="B191" s="10" t="str">
        <f ca="1">IFERROR(__xludf.DUMMYFUNCTION("""COMPUTED_VALUE"""),"Vincent Merritt")</f>
        <v>Vincent Merritt</v>
      </c>
      <c r="C191" s="10" t="str">
        <f ca="1">IFERROR(__xludf.DUMMYFUNCTION("""COMPUTED_VALUE"""),"Brentwood Elementary School")</f>
        <v>Brentwood Elementary School</v>
      </c>
      <c r="D191" s="10" t="str">
        <f ca="1">IFERROR(__xludf.DUMMYFUNCTION("""COMPUTED_VALUE"""),"ES")</f>
        <v>ES</v>
      </c>
      <c r="E191" s="10">
        <f ca="1">IFERROR(__xludf.DUMMYFUNCTION("""COMPUTED_VALUE"""),185)</f>
        <v>185</v>
      </c>
      <c r="F191" s="10">
        <f ca="1">IFERROR(__xludf.DUMMYFUNCTION("""COMPUTED_VALUE"""),1)</f>
        <v>1</v>
      </c>
      <c r="G191" s="10">
        <f ca="1">IFERROR(__xludf.DUMMYFUNCTION("""COMPUTED_VALUE"""),115)</f>
        <v>115</v>
      </c>
      <c r="H191" s="10">
        <f ca="1">IFERROR(__xludf.DUMMYFUNCTION("""COMPUTED_VALUE"""),70)</f>
        <v>70</v>
      </c>
    </row>
    <row r="192" spans="1:8">
      <c r="A192" s="9">
        <f ca="1">IFERROR(__xludf.DUMMYFUNCTION("""COMPUTED_VALUE"""),50001)</f>
        <v>50001</v>
      </c>
      <c r="B192" s="10" t="str">
        <f ca="1">IFERROR(__xludf.DUMMYFUNCTION("""COMPUTED_VALUE"""),"Thomas Burns")</f>
        <v>Thomas Burns</v>
      </c>
      <c r="C192" s="10" t="str">
        <f ca="1">IFERROR(__xludf.DUMMYFUNCTION("""COMPUTED_VALUE"""),"Eastside Early College Prep")</f>
        <v>Eastside Early College Prep</v>
      </c>
      <c r="D192" s="10" t="str">
        <f ca="1">IFERROR(__xludf.DUMMYFUNCTION("""COMPUTED_VALUE"""),"HS")</f>
        <v>HS</v>
      </c>
      <c r="E192" s="10" t="str">
        <f ca="1">IFERROR(__xludf.DUMMYFUNCTION("""COMPUTED_VALUE"""),"Posting")</f>
        <v>Posting</v>
      </c>
      <c r="F192" s="10" t="str">
        <f ca="1">IFERROR(__xludf.DUMMYFUNCTION("""COMPUTED_VALUE"""),"Posting")</f>
        <v>Posting</v>
      </c>
      <c r="G192" s="10" t="str">
        <f ca="1">IFERROR(__xludf.DUMMYFUNCTION("""COMPUTED_VALUE"""),"Posting")</f>
        <v>Posting</v>
      </c>
      <c r="H192" s="10" t="str">
        <f ca="1">IFERROR(__xludf.DUMMYFUNCTION("""COMPUTED_VALUE"""),"Posting")</f>
        <v>Posting</v>
      </c>
    </row>
    <row r="193" spans="1:8">
      <c r="A193" s="9">
        <f ca="1">IFERROR(__xludf.DUMMYFUNCTION("""COMPUTED_VALUE"""),60001)</f>
        <v>60001</v>
      </c>
      <c r="B193" s="10" t="str">
        <f ca="1">IFERROR(__xludf.DUMMYFUNCTION("""COMPUTED_VALUE"""),"Evelyn Hanna")</f>
        <v>Evelyn Hanna</v>
      </c>
      <c r="C193" s="10" t="str">
        <f ca="1">IFERROR(__xludf.DUMMYFUNCTION("""COMPUTED_VALUE"""),"Griffin School")</f>
        <v>Griffin School</v>
      </c>
      <c r="D193" s="10" t="str">
        <f ca="1">IFERROR(__xludf.DUMMYFUNCTION("""COMPUTED_VALUE"""),"HS")</f>
        <v>HS</v>
      </c>
      <c r="E193" s="10">
        <f ca="1">IFERROR(__xludf.DUMMYFUNCTION("""COMPUTED_VALUE"""),265)</f>
        <v>265</v>
      </c>
      <c r="F193" s="10">
        <f ca="1">IFERROR(__xludf.DUMMYFUNCTION("""COMPUTED_VALUE"""),8)</f>
        <v>8</v>
      </c>
      <c r="G193" s="10">
        <f ca="1">IFERROR(__xludf.DUMMYFUNCTION("""COMPUTED_VALUE"""),140)</f>
        <v>140</v>
      </c>
      <c r="H193" s="10">
        <f ca="1">IFERROR(__xludf.DUMMYFUNCTION("""COMPUTED_VALUE"""),125)</f>
        <v>125</v>
      </c>
    </row>
    <row r="194" spans="1:8">
      <c r="A194" s="9">
        <f ca="1">IFERROR(__xludf.DUMMYFUNCTION("""COMPUTED_VALUE"""),60002)</f>
        <v>60002</v>
      </c>
      <c r="B194" s="10" t="str">
        <f ca="1">IFERROR(__xludf.DUMMYFUNCTION("""COMPUTED_VALUE"""),"Kai Gadd-Shefman")</f>
        <v>Kai Gadd-Shefman</v>
      </c>
      <c r="C194" s="10" t="str">
        <f ca="1">IFERROR(__xludf.DUMMYFUNCTION("""COMPUTED_VALUE"""),"Griffin School")</f>
        <v>Griffin School</v>
      </c>
      <c r="D194" s="10" t="str">
        <f ca="1">IFERROR(__xludf.DUMMYFUNCTION("""COMPUTED_VALUE"""),"HS")</f>
        <v>HS</v>
      </c>
      <c r="E194" s="10">
        <f ca="1">IFERROR(__xludf.DUMMYFUNCTION("""COMPUTED_VALUE"""),242)</f>
        <v>242</v>
      </c>
      <c r="F194" s="10">
        <f ca="1">IFERROR(__xludf.DUMMYFUNCTION("""COMPUTED_VALUE"""),4)</f>
        <v>4</v>
      </c>
      <c r="G194" s="10">
        <f ca="1">IFERROR(__xludf.DUMMYFUNCTION("""COMPUTED_VALUE"""),133)</f>
        <v>133</v>
      </c>
      <c r="H194" s="10">
        <f ca="1">IFERROR(__xludf.DUMMYFUNCTION("""COMPUTED_VALUE"""),109)</f>
        <v>109</v>
      </c>
    </row>
    <row r="195" spans="1:8">
      <c r="A195" s="9">
        <f ca="1">IFERROR(__xludf.DUMMYFUNCTION("""COMPUTED_VALUE"""),70001)</f>
        <v>70001</v>
      </c>
      <c r="B195" s="10" t="str">
        <f ca="1">IFERROR(__xludf.DUMMYFUNCTION("""COMPUTED_VALUE"""),"Anita Liu")</f>
        <v>Anita Liu</v>
      </c>
      <c r="C195" s="10" t="str">
        <f ca="1">IFERROR(__xludf.DUMMYFUNCTION("""COMPUTED_VALUE"""),"Highland Park Elementary School")</f>
        <v>Highland Park Elementary School</v>
      </c>
      <c r="D195" s="10" t="str">
        <f ca="1">IFERROR(__xludf.DUMMYFUNCTION("""COMPUTED_VALUE"""),"ES")</f>
        <v>ES</v>
      </c>
      <c r="E195" s="10">
        <f ca="1">IFERROR(__xludf.DUMMYFUNCTION("""COMPUTED_VALUE"""),262)</f>
        <v>262</v>
      </c>
      <c r="F195" s="10">
        <f ca="1">IFERROR(__xludf.DUMMYFUNCTION("""COMPUTED_VALUE"""),11)</f>
        <v>11</v>
      </c>
      <c r="G195" s="10">
        <f ca="1">IFERROR(__xludf.DUMMYFUNCTION("""COMPUTED_VALUE"""),141)</f>
        <v>141</v>
      </c>
      <c r="H195" s="10">
        <f ca="1">IFERROR(__xludf.DUMMYFUNCTION("""COMPUTED_VALUE"""),121)</f>
        <v>121</v>
      </c>
    </row>
    <row r="196" spans="1:8">
      <c r="A196" s="9">
        <f ca="1">IFERROR(__xludf.DUMMYFUNCTION("""COMPUTED_VALUE"""),70002)</f>
        <v>70002</v>
      </c>
      <c r="B196" s="10" t="str">
        <f ca="1">IFERROR(__xludf.DUMMYFUNCTION("""COMPUTED_VALUE"""),"Asher Young")</f>
        <v>Asher Young</v>
      </c>
      <c r="C196" s="10" t="str">
        <f ca="1">IFERROR(__xludf.DUMMYFUNCTION("""COMPUTED_VALUE"""),"Highland Park Elementary School")</f>
        <v>Highland Park Elementary School</v>
      </c>
      <c r="D196" s="10" t="str">
        <f ca="1">IFERROR(__xludf.DUMMYFUNCTION("""COMPUTED_VALUE"""),"ES")</f>
        <v>ES</v>
      </c>
      <c r="E196" s="10">
        <f ca="1">IFERROR(__xludf.DUMMYFUNCTION("""COMPUTED_VALUE"""),253)</f>
        <v>253</v>
      </c>
      <c r="F196" s="10">
        <f ca="1">IFERROR(__xludf.DUMMYFUNCTION("""COMPUTED_VALUE"""),8)</f>
        <v>8</v>
      </c>
      <c r="G196" s="10">
        <f ca="1">IFERROR(__xludf.DUMMYFUNCTION("""COMPUTED_VALUE"""),140)</f>
        <v>140</v>
      </c>
      <c r="H196" s="10">
        <f ca="1">IFERROR(__xludf.DUMMYFUNCTION("""COMPUTED_VALUE"""),113)</f>
        <v>113</v>
      </c>
    </row>
    <row r="197" spans="1:8">
      <c r="A197" s="9">
        <f ca="1">IFERROR(__xludf.DUMMYFUNCTION("""COMPUTED_VALUE"""),70003)</f>
        <v>70003</v>
      </c>
      <c r="B197" s="10" t="str">
        <f ca="1">IFERROR(__xludf.DUMMYFUNCTION("""COMPUTED_VALUE"""),"Aspen Arbuckle")</f>
        <v>Aspen Arbuckle</v>
      </c>
      <c r="C197" s="10" t="str">
        <f ca="1">IFERROR(__xludf.DUMMYFUNCTION("""COMPUTED_VALUE"""),"Highland Park Elementary School")</f>
        <v>Highland Park Elementary School</v>
      </c>
      <c r="D197" s="10" t="str">
        <f ca="1">IFERROR(__xludf.DUMMYFUNCTION("""COMPUTED_VALUE"""),"ES")</f>
        <v>ES</v>
      </c>
      <c r="E197" s="10">
        <f ca="1">IFERROR(__xludf.DUMMYFUNCTION("""COMPUTED_VALUE"""),258)</f>
        <v>258</v>
      </c>
      <c r="F197" s="10">
        <f ca="1">IFERROR(__xludf.DUMMYFUNCTION("""COMPUTED_VALUE"""),9)</f>
        <v>9</v>
      </c>
      <c r="G197" s="10">
        <f ca="1">IFERROR(__xludf.DUMMYFUNCTION("""COMPUTED_VALUE"""),131)</f>
        <v>131</v>
      </c>
      <c r="H197" s="10">
        <f ca="1">IFERROR(__xludf.DUMMYFUNCTION("""COMPUTED_VALUE"""),127)</f>
        <v>127</v>
      </c>
    </row>
    <row r="198" spans="1:8">
      <c r="A198" s="9">
        <f ca="1">IFERROR(__xludf.DUMMYFUNCTION("""COMPUTED_VALUE"""),70004)</f>
        <v>70004</v>
      </c>
      <c r="B198" s="10" t="str">
        <f ca="1">IFERROR(__xludf.DUMMYFUNCTION("""COMPUTED_VALUE"""),"Benjamin Musgrave")</f>
        <v>Benjamin Musgrave</v>
      </c>
      <c r="C198" s="10" t="str">
        <f ca="1">IFERROR(__xludf.DUMMYFUNCTION("""COMPUTED_VALUE"""),"Highland Park Elementary School")</f>
        <v>Highland Park Elementary School</v>
      </c>
      <c r="D198" s="10" t="str">
        <f ca="1">IFERROR(__xludf.DUMMYFUNCTION("""COMPUTED_VALUE"""),"ES")</f>
        <v>ES</v>
      </c>
      <c r="E198" s="10">
        <f ca="1">IFERROR(__xludf.DUMMYFUNCTION("""COMPUTED_VALUE"""),244)</f>
        <v>244</v>
      </c>
      <c r="F198" s="10">
        <f ca="1">IFERROR(__xludf.DUMMYFUNCTION("""COMPUTED_VALUE"""),5)</f>
        <v>5</v>
      </c>
      <c r="G198" s="10">
        <f ca="1">IFERROR(__xludf.DUMMYFUNCTION("""COMPUTED_VALUE"""),131)</f>
        <v>131</v>
      </c>
      <c r="H198" s="10">
        <f ca="1">IFERROR(__xludf.DUMMYFUNCTION("""COMPUTED_VALUE"""),113)</f>
        <v>113</v>
      </c>
    </row>
    <row r="199" spans="1:8">
      <c r="A199" s="9">
        <f ca="1">IFERROR(__xludf.DUMMYFUNCTION("""COMPUTED_VALUE"""),70005)</f>
        <v>70005</v>
      </c>
      <c r="B199" s="10" t="str">
        <f ca="1">IFERROR(__xludf.DUMMYFUNCTION("""COMPUTED_VALUE"""),"Bobby Napoles")</f>
        <v>Bobby Napoles</v>
      </c>
      <c r="C199" s="10" t="str">
        <f ca="1">IFERROR(__xludf.DUMMYFUNCTION("""COMPUTED_VALUE"""),"Highland Park Elementary School")</f>
        <v>Highland Park Elementary School</v>
      </c>
      <c r="D199" s="10" t="str">
        <f ca="1">IFERROR(__xludf.DUMMYFUNCTION("""COMPUTED_VALUE"""),"ES")</f>
        <v>ES</v>
      </c>
      <c r="E199" s="10">
        <f ca="1">IFERROR(__xludf.DUMMYFUNCTION("""COMPUTED_VALUE"""),260)</f>
        <v>260</v>
      </c>
      <c r="F199" s="10">
        <f ca="1">IFERROR(__xludf.DUMMYFUNCTION("""COMPUTED_VALUE"""),7)</f>
        <v>7</v>
      </c>
      <c r="G199" s="10">
        <f ca="1">IFERROR(__xludf.DUMMYFUNCTION("""COMPUTED_VALUE"""),138)</f>
        <v>138</v>
      </c>
      <c r="H199" s="10">
        <f ca="1">IFERROR(__xludf.DUMMYFUNCTION("""COMPUTED_VALUE"""),122)</f>
        <v>122</v>
      </c>
    </row>
    <row r="200" spans="1:8">
      <c r="A200" s="9">
        <f ca="1">IFERROR(__xludf.DUMMYFUNCTION("""COMPUTED_VALUE"""),70007)</f>
        <v>70007</v>
      </c>
      <c r="B200" s="10" t="str">
        <f ca="1">IFERROR(__xludf.DUMMYFUNCTION("""COMPUTED_VALUE"""),"Claire Fuller")</f>
        <v>Claire Fuller</v>
      </c>
      <c r="C200" s="10" t="str">
        <f ca="1">IFERROR(__xludf.DUMMYFUNCTION("""COMPUTED_VALUE"""),"Highland Park Elementary School")</f>
        <v>Highland Park Elementary School</v>
      </c>
      <c r="D200" s="10" t="str">
        <f ca="1">IFERROR(__xludf.DUMMYFUNCTION("""COMPUTED_VALUE"""),"ES")</f>
        <v>ES</v>
      </c>
      <c r="E200" s="10" t="str">
        <f ca="1">IFERROR(__xludf.DUMMYFUNCTION("""COMPUTED_VALUE"""),"Posting")</f>
        <v>Posting</v>
      </c>
      <c r="F200" s="10" t="str">
        <f ca="1">IFERROR(__xludf.DUMMYFUNCTION("""COMPUTED_VALUE"""),"Posting")</f>
        <v>Posting</v>
      </c>
      <c r="G200" s="10" t="str">
        <f ca="1">IFERROR(__xludf.DUMMYFUNCTION("""COMPUTED_VALUE"""),"Posting")</f>
        <v>Posting</v>
      </c>
      <c r="H200" s="10" t="str">
        <f ca="1">IFERROR(__xludf.DUMMYFUNCTION("""COMPUTED_VALUE"""),"Posting")</f>
        <v>Posting</v>
      </c>
    </row>
    <row r="201" spans="1:8">
      <c r="A201" s="9">
        <f ca="1">IFERROR(__xludf.DUMMYFUNCTION("""COMPUTED_VALUE"""),70008)</f>
        <v>70008</v>
      </c>
      <c r="B201" s="10" t="str">
        <f ca="1">IFERROR(__xludf.DUMMYFUNCTION("""COMPUTED_VALUE"""),"Crosby Campaigne")</f>
        <v>Crosby Campaigne</v>
      </c>
      <c r="C201" s="10" t="str">
        <f ca="1">IFERROR(__xludf.DUMMYFUNCTION("""COMPUTED_VALUE"""),"Highland Park Elementary School")</f>
        <v>Highland Park Elementary School</v>
      </c>
      <c r="D201" s="10" t="str">
        <f ca="1">IFERROR(__xludf.DUMMYFUNCTION("""COMPUTED_VALUE"""),"ES")</f>
        <v>ES</v>
      </c>
      <c r="E201" s="10">
        <f ca="1">IFERROR(__xludf.DUMMYFUNCTION("""COMPUTED_VALUE"""),237)</f>
        <v>237</v>
      </c>
      <c r="F201" s="10">
        <f ca="1">IFERROR(__xludf.DUMMYFUNCTION("""COMPUTED_VALUE"""),7)</f>
        <v>7</v>
      </c>
      <c r="G201" s="10">
        <f ca="1">IFERROR(__xludf.DUMMYFUNCTION("""COMPUTED_VALUE"""),130)</f>
        <v>130</v>
      </c>
      <c r="H201" s="10">
        <f ca="1">IFERROR(__xludf.DUMMYFUNCTION("""COMPUTED_VALUE"""),107)</f>
        <v>107</v>
      </c>
    </row>
    <row r="202" spans="1:8">
      <c r="A202" s="9">
        <f ca="1">IFERROR(__xludf.DUMMYFUNCTION("""COMPUTED_VALUE"""),70009)</f>
        <v>70009</v>
      </c>
      <c r="B202" s="10" t="str">
        <f ca="1">IFERROR(__xludf.DUMMYFUNCTION("""COMPUTED_VALUE"""),"Diego Chaparro")</f>
        <v>Diego Chaparro</v>
      </c>
      <c r="C202" s="10" t="str">
        <f ca="1">IFERROR(__xludf.DUMMYFUNCTION("""COMPUTED_VALUE"""),"Highland Park Elementary School")</f>
        <v>Highland Park Elementary School</v>
      </c>
      <c r="D202" s="10" t="str">
        <f ca="1">IFERROR(__xludf.DUMMYFUNCTION("""COMPUTED_VALUE"""),"ES")</f>
        <v>ES</v>
      </c>
      <c r="E202" s="10">
        <f ca="1">IFERROR(__xludf.DUMMYFUNCTION("""COMPUTED_VALUE"""),217)</f>
        <v>217</v>
      </c>
      <c r="F202" s="10">
        <f ca="1">IFERROR(__xludf.DUMMYFUNCTION("""COMPUTED_VALUE"""),2)</f>
        <v>2</v>
      </c>
      <c r="G202" s="10">
        <f ca="1">IFERROR(__xludf.DUMMYFUNCTION("""COMPUTED_VALUE"""),123)</f>
        <v>123</v>
      </c>
      <c r="H202" s="10">
        <f ca="1">IFERROR(__xludf.DUMMYFUNCTION("""COMPUTED_VALUE"""),94)</f>
        <v>94</v>
      </c>
    </row>
    <row r="203" spans="1:8">
      <c r="A203" s="9">
        <f ca="1">IFERROR(__xludf.DUMMYFUNCTION("""COMPUTED_VALUE"""),70010)</f>
        <v>70010</v>
      </c>
      <c r="B203" s="10" t="str">
        <f ca="1">IFERROR(__xludf.DUMMYFUNCTION("""COMPUTED_VALUE"""),"Eleanor Aughenbaugh")</f>
        <v>Eleanor Aughenbaugh</v>
      </c>
      <c r="C203" s="10" t="str">
        <f ca="1">IFERROR(__xludf.DUMMYFUNCTION("""COMPUTED_VALUE"""),"Highland Park Elementary School")</f>
        <v>Highland Park Elementary School</v>
      </c>
      <c r="D203" s="10" t="str">
        <f ca="1">IFERROR(__xludf.DUMMYFUNCTION("""COMPUTED_VALUE"""),"ES")</f>
        <v>ES</v>
      </c>
      <c r="E203" s="10">
        <f ca="1">IFERROR(__xludf.DUMMYFUNCTION("""COMPUTED_VALUE"""),246)</f>
        <v>246</v>
      </c>
      <c r="F203" s="10">
        <f ca="1">IFERROR(__xludf.DUMMYFUNCTION("""COMPUTED_VALUE"""),6)</f>
        <v>6</v>
      </c>
      <c r="G203" s="10">
        <f ca="1">IFERROR(__xludf.DUMMYFUNCTION("""COMPUTED_VALUE"""),132)</f>
        <v>132</v>
      </c>
      <c r="H203" s="10">
        <f ca="1">IFERROR(__xludf.DUMMYFUNCTION("""COMPUTED_VALUE"""),114)</f>
        <v>114</v>
      </c>
    </row>
    <row r="204" spans="1:8">
      <c r="A204" s="9">
        <f ca="1">IFERROR(__xludf.DUMMYFUNCTION("""COMPUTED_VALUE"""),70011)</f>
        <v>70011</v>
      </c>
      <c r="B204" s="10" t="str">
        <f ca="1">IFERROR(__xludf.DUMMYFUNCTION("""COMPUTED_VALUE"""),"Eleanor Singer")</f>
        <v>Eleanor Singer</v>
      </c>
      <c r="C204" s="10" t="str">
        <f ca="1">IFERROR(__xludf.DUMMYFUNCTION("""COMPUTED_VALUE"""),"Highland Park Elementary School")</f>
        <v>Highland Park Elementary School</v>
      </c>
      <c r="D204" s="10" t="str">
        <f ca="1">IFERROR(__xludf.DUMMYFUNCTION("""COMPUTED_VALUE"""),"ES")</f>
        <v>ES</v>
      </c>
      <c r="E204" s="10">
        <f ca="1">IFERROR(__xludf.DUMMYFUNCTION("""COMPUTED_VALUE"""),229)</f>
        <v>229</v>
      </c>
      <c r="F204" s="10">
        <f ca="1">IFERROR(__xludf.DUMMYFUNCTION("""COMPUTED_VALUE"""),4)</f>
        <v>4</v>
      </c>
      <c r="G204" s="10">
        <f ca="1">IFERROR(__xludf.DUMMYFUNCTION("""COMPUTED_VALUE"""),117)</f>
        <v>117</v>
      </c>
      <c r="H204" s="10">
        <f ca="1">IFERROR(__xludf.DUMMYFUNCTION("""COMPUTED_VALUE"""),112)</f>
        <v>112</v>
      </c>
    </row>
    <row r="205" spans="1:8">
      <c r="A205" s="9">
        <f ca="1">IFERROR(__xludf.DUMMYFUNCTION("""COMPUTED_VALUE"""),70012)</f>
        <v>70012</v>
      </c>
      <c r="B205" s="10" t="str">
        <f ca="1">IFERROR(__xludf.DUMMYFUNCTION("""COMPUTED_VALUE"""),"Emma Strama")</f>
        <v>Emma Strama</v>
      </c>
      <c r="C205" s="10" t="str">
        <f ca="1">IFERROR(__xludf.DUMMYFUNCTION("""COMPUTED_VALUE"""),"Highland Park Elementary School")</f>
        <v>Highland Park Elementary School</v>
      </c>
      <c r="D205" s="10" t="str">
        <f ca="1">IFERROR(__xludf.DUMMYFUNCTION("""COMPUTED_VALUE"""),"ES")</f>
        <v>ES</v>
      </c>
      <c r="E205" s="10">
        <f ca="1">IFERROR(__xludf.DUMMYFUNCTION("""COMPUTED_VALUE"""),250)</f>
        <v>250</v>
      </c>
      <c r="F205" s="10">
        <f ca="1">IFERROR(__xludf.DUMMYFUNCTION("""COMPUTED_VALUE"""),4)</f>
        <v>4</v>
      </c>
      <c r="G205" s="10">
        <f ca="1">IFERROR(__xludf.DUMMYFUNCTION("""COMPUTED_VALUE"""),129)</f>
        <v>129</v>
      </c>
      <c r="H205" s="10">
        <f ca="1">IFERROR(__xludf.DUMMYFUNCTION("""COMPUTED_VALUE"""),121)</f>
        <v>121</v>
      </c>
    </row>
    <row r="206" spans="1:8">
      <c r="A206" s="9">
        <f ca="1">IFERROR(__xludf.DUMMYFUNCTION("""COMPUTED_VALUE"""),70013)</f>
        <v>70013</v>
      </c>
      <c r="B206" s="10" t="str">
        <f ca="1">IFERROR(__xludf.DUMMYFUNCTION("""COMPUTED_VALUE"""),"Emma Wintemute")</f>
        <v>Emma Wintemute</v>
      </c>
      <c r="C206" s="10" t="str">
        <f ca="1">IFERROR(__xludf.DUMMYFUNCTION("""COMPUTED_VALUE"""),"Highland Park Elementary School")</f>
        <v>Highland Park Elementary School</v>
      </c>
      <c r="D206" s="10" t="str">
        <f ca="1">IFERROR(__xludf.DUMMYFUNCTION("""COMPUTED_VALUE"""),"ES")</f>
        <v>ES</v>
      </c>
      <c r="E206" s="10">
        <f ca="1">IFERROR(__xludf.DUMMYFUNCTION("""COMPUTED_VALUE"""),256)</f>
        <v>256</v>
      </c>
      <c r="F206" s="10">
        <f ca="1">IFERROR(__xludf.DUMMYFUNCTION("""COMPUTED_VALUE"""),6)</f>
        <v>6</v>
      </c>
      <c r="G206" s="10">
        <f ca="1">IFERROR(__xludf.DUMMYFUNCTION("""COMPUTED_VALUE"""),136)</f>
        <v>136</v>
      </c>
      <c r="H206" s="10">
        <f ca="1">IFERROR(__xludf.DUMMYFUNCTION("""COMPUTED_VALUE"""),120)</f>
        <v>120</v>
      </c>
    </row>
    <row r="207" spans="1:8">
      <c r="A207" s="9">
        <f ca="1">IFERROR(__xludf.DUMMYFUNCTION("""COMPUTED_VALUE"""),70014)</f>
        <v>70014</v>
      </c>
      <c r="B207" s="10" t="str">
        <f ca="1">IFERROR(__xludf.DUMMYFUNCTION("""COMPUTED_VALUE"""),"Etta Moskowitz")</f>
        <v>Etta Moskowitz</v>
      </c>
      <c r="C207" s="10" t="str">
        <f ca="1">IFERROR(__xludf.DUMMYFUNCTION("""COMPUTED_VALUE"""),"Highland Park Elementary School")</f>
        <v>Highland Park Elementary School</v>
      </c>
      <c r="D207" s="10" t="str">
        <f ca="1">IFERROR(__xludf.DUMMYFUNCTION("""COMPUTED_VALUE"""),"ES")</f>
        <v>ES</v>
      </c>
      <c r="E207" s="10">
        <f ca="1">IFERROR(__xludf.DUMMYFUNCTION("""COMPUTED_VALUE"""),251)</f>
        <v>251</v>
      </c>
      <c r="F207" s="10">
        <f ca="1">IFERROR(__xludf.DUMMYFUNCTION("""COMPUTED_VALUE"""),6)</f>
        <v>6</v>
      </c>
      <c r="G207" s="10">
        <f ca="1">IFERROR(__xludf.DUMMYFUNCTION("""COMPUTED_VALUE"""),137)</f>
        <v>137</v>
      </c>
      <c r="H207" s="10">
        <f ca="1">IFERROR(__xludf.DUMMYFUNCTION("""COMPUTED_VALUE"""),114)</f>
        <v>114</v>
      </c>
    </row>
    <row r="208" spans="1:8">
      <c r="A208" s="9">
        <f ca="1">IFERROR(__xludf.DUMMYFUNCTION("""COMPUTED_VALUE"""),70015)</f>
        <v>70015</v>
      </c>
      <c r="B208" s="10" t="str">
        <f ca="1">IFERROR(__xludf.DUMMYFUNCTION("""COMPUTED_VALUE"""),"George Joyoprayitno")</f>
        <v>George Joyoprayitno</v>
      </c>
      <c r="C208" s="10" t="str">
        <f ca="1">IFERROR(__xludf.DUMMYFUNCTION("""COMPUTED_VALUE"""),"Highland Park Elementary School")</f>
        <v>Highland Park Elementary School</v>
      </c>
      <c r="D208" s="10" t="str">
        <f ca="1">IFERROR(__xludf.DUMMYFUNCTION("""COMPUTED_VALUE"""),"ES")</f>
        <v>ES</v>
      </c>
      <c r="E208" s="10">
        <f ca="1">IFERROR(__xludf.DUMMYFUNCTION("""COMPUTED_VALUE"""),228)</f>
        <v>228</v>
      </c>
      <c r="F208" s="10">
        <f ca="1">IFERROR(__xludf.DUMMYFUNCTION("""COMPUTED_VALUE"""),3)</f>
        <v>3</v>
      </c>
      <c r="G208" s="10">
        <f ca="1">IFERROR(__xludf.DUMMYFUNCTION("""COMPUTED_VALUE"""),121)</f>
        <v>121</v>
      </c>
      <c r="H208" s="10">
        <f ca="1">IFERROR(__xludf.DUMMYFUNCTION("""COMPUTED_VALUE"""),107)</f>
        <v>107</v>
      </c>
    </row>
    <row r="209" spans="1:8">
      <c r="A209" s="9">
        <f ca="1">IFERROR(__xludf.DUMMYFUNCTION("""COMPUTED_VALUE"""),70016)</f>
        <v>70016</v>
      </c>
      <c r="B209" s="10" t="str">
        <f ca="1">IFERROR(__xludf.DUMMYFUNCTION("""COMPUTED_VALUE"""),"Georgia Ambrose")</f>
        <v>Georgia Ambrose</v>
      </c>
      <c r="C209" s="10" t="str">
        <f ca="1">IFERROR(__xludf.DUMMYFUNCTION("""COMPUTED_VALUE"""),"Highland Park Elementary School")</f>
        <v>Highland Park Elementary School</v>
      </c>
      <c r="D209" s="10" t="str">
        <f ca="1">IFERROR(__xludf.DUMMYFUNCTION("""COMPUTED_VALUE"""),"ES")</f>
        <v>ES</v>
      </c>
      <c r="E209" s="10">
        <f ca="1">IFERROR(__xludf.DUMMYFUNCTION("""COMPUTED_VALUE"""),231)</f>
        <v>231</v>
      </c>
      <c r="F209" s="10">
        <f ca="1">IFERROR(__xludf.DUMMYFUNCTION("""COMPUTED_VALUE"""),4)</f>
        <v>4</v>
      </c>
      <c r="G209" s="10">
        <f ca="1">IFERROR(__xludf.DUMMYFUNCTION("""COMPUTED_VALUE"""),122)</f>
        <v>122</v>
      </c>
      <c r="H209" s="10">
        <f ca="1">IFERROR(__xludf.DUMMYFUNCTION("""COMPUTED_VALUE"""),109)</f>
        <v>109</v>
      </c>
    </row>
    <row r="210" spans="1:8">
      <c r="A210" s="9">
        <f ca="1">IFERROR(__xludf.DUMMYFUNCTION("""COMPUTED_VALUE"""),70017)</f>
        <v>70017</v>
      </c>
      <c r="B210" s="10" t="str">
        <f ca="1">IFERROR(__xludf.DUMMYFUNCTION("""COMPUTED_VALUE"""),"Hayes Hatfield")</f>
        <v>Hayes Hatfield</v>
      </c>
      <c r="C210" s="10" t="str">
        <f ca="1">IFERROR(__xludf.DUMMYFUNCTION("""COMPUTED_VALUE"""),"Highland Park Elementary School")</f>
        <v>Highland Park Elementary School</v>
      </c>
      <c r="D210" s="10" t="str">
        <f ca="1">IFERROR(__xludf.DUMMYFUNCTION("""COMPUTED_VALUE"""),"ES")</f>
        <v>ES</v>
      </c>
      <c r="E210" s="10">
        <f ca="1">IFERROR(__xludf.DUMMYFUNCTION("""COMPUTED_VALUE"""),250)</f>
        <v>250</v>
      </c>
      <c r="F210" s="10">
        <f ca="1">IFERROR(__xludf.DUMMYFUNCTION("""COMPUTED_VALUE"""),7)</f>
        <v>7</v>
      </c>
      <c r="G210" s="10">
        <f ca="1">IFERROR(__xludf.DUMMYFUNCTION("""COMPUTED_VALUE"""),135)</f>
        <v>135</v>
      </c>
      <c r="H210" s="10">
        <f ca="1">IFERROR(__xludf.DUMMYFUNCTION("""COMPUTED_VALUE"""),115)</f>
        <v>115</v>
      </c>
    </row>
    <row r="211" spans="1:8">
      <c r="A211" s="9">
        <f ca="1">IFERROR(__xludf.DUMMYFUNCTION("""COMPUTED_VALUE"""),70018)</f>
        <v>70018</v>
      </c>
      <c r="B211" s="10" t="str">
        <f ca="1">IFERROR(__xludf.DUMMYFUNCTION("""COMPUTED_VALUE"""),"Henry Pell")</f>
        <v>Henry Pell</v>
      </c>
      <c r="C211" s="10" t="str">
        <f ca="1">IFERROR(__xludf.DUMMYFUNCTION("""COMPUTED_VALUE"""),"Highland Park Elementary School")</f>
        <v>Highland Park Elementary School</v>
      </c>
      <c r="D211" s="10" t="str">
        <f ca="1">IFERROR(__xludf.DUMMYFUNCTION("""COMPUTED_VALUE"""),"ES")</f>
        <v>ES</v>
      </c>
      <c r="E211" s="10">
        <f ca="1">IFERROR(__xludf.DUMMYFUNCTION("""COMPUTED_VALUE"""),276)</f>
        <v>276</v>
      </c>
      <c r="F211" s="10">
        <f ca="1">IFERROR(__xludf.DUMMYFUNCTION("""COMPUTED_VALUE"""),15)</f>
        <v>15</v>
      </c>
      <c r="G211" s="10">
        <f ca="1">IFERROR(__xludf.DUMMYFUNCTION("""COMPUTED_VALUE"""),145)</f>
        <v>145</v>
      </c>
      <c r="H211" s="10">
        <f ca="1">IFERROR(__xludf.DUMMYFUNCTION("""COMPUTED_VALUE"""),131)</f>
        <v>131</v>
      </c>
    </row>
    <row r="212" spans="1:8">
      <c r="A212" s="9">
        <f ca="1">IFERROR(__xludf.DUMMYFUNCTION("""COMPUTED_VALUE"""),70019)</f>
        <v>70019</v>
      </c>
      <c r="B212" s="10" t="str">
        <f ca="1">IFERROR(__xludf.DUMMYFUNCTION("""COMPUTED_VALUE"""),"Isaac Tang")</f>
        <v>Isaac Tang</v>
      </c>
      <c r="C212" s="10" t="str">
        <f ca="1">IFERROR(__xludf.DUMMYFUNCTION("""COMPUTED_VALUE"""),"Highland Park Elementary School")</f>
        <v>Highland Park Elementary School</v>
      </c>
      <c r="D212" s="10" t="str">
        <f ca="1">IFERROR(__xludf.DUMMYFUNCTION("""COMPUTED_VALUE"""),"ES")</f>
        <v>ES</v>
      </c>
      <c r="E212" s="10">
        <f ca="1">IFERROR(__xludf.DUMMYFUNCTION("""COMPUTED_VALUE"""),237)</f>
        <v>237</v>
      </c>
      <c r="F212" s="10">
        <f ca="1">IFERROR(__xludf.DUMMYFUNCTION("""COMPUTED_VALUE"""),4)</f>
        <v>4</v>
      </c>
      <c r="G212" s="10">
        <f ca="1">IFERROR(__xludf.DUMMYFUNCTION("""COMPUTED_VALUE"""),124)</f>
        <v>124</v>
      </c>
      <c r="H212" s="10">
        <f ca="1">IFERROR(__xludf.DUMMYFUNCTION("""COMPUTED_VALUE"""),113)</f>
        <v>113</v>
      </c>
    </row>
    <row r="213" spans="1:8">
      <c r="A213" s="9">
        <f ca="1">IFERROR(__xludf.DUMMYFUNCTION("""COMPUTED_VALUE"""),70020)</f>
        <v>70020</v>
      </c>
      <c r="B213" s="10" t="str">
        <f ca="1">IFERROR(__xludf.DUMMYFUNCTION("""COMPUTED_VALUE"""),"Jagger Sanchez")</f>
        <v>Jagger Sanchez</v>
      </c>
      <c r="C213" s="10" t="str">
        <f ca="1">IFERROR(__xludf.DUMMYFUNCTION("""COMPUTED_VALUE"""),"Highland Park Elementary School")</f>
        <v>Highland Park Elementary School</v>
      </c>
      <c r="D213" s="10" t="str">
        <f ca="1">IFERROR(__xludf.DUMMYFUNCTION("""COMPUTED_VALUE"""),"ES")</f>
        <v>ES</v>
      </c>
      <c r="E213" s="10">
        <f ca="1">IFERROR(__xludf.DUMMYFUNCTION("""COMPUTED_VALUE"""),259)</f>
        <v>259</v>
      </c>
      <c r="F213" s="10">
        <f ca="1">IFERROR(__xludf.DUMMYFUNCTION("""COMPUTED_VALUE"""),10)</f>
        <v>10</v>
      </c>
      <c r="G213" s="10">
        <f ca="1">IFERROR(__xludf.DUMMYFUNCTION("""COMPUTED_VALUE"""),141)</f>
        <v>141</v>
      </c>
      <c r="H213" s="10">
        <f ca="1">IFERROR(__xludf.DUMMYFUNCTION("""COMPUTED_VALUE"""),118)</f>
        <v>118</v>
      </c>
    </row>
    <row r="214" spans="1:8">
      <c r="A214" s="9">
        <f ca="1">IFERROR(__xludf.DUMMYFUNCTION("""COMPUTED_VALUE"""),70021)</f>
        <v>70021</v>
      </c>
      <c r="B214" s="10" t="str">
        <f ca="1">IFERROR(__xludf.DUMMYFUNCTION("""COMPUTED_VALUE"""),"John Fox Williams")</f>
        <v>John Fox Williams</v>
      </c>
      <c r="C214" s="10" t="str">
        <f ca="1">IFERROR(__xludf.DUMMYFUNCTION("""COMPUTED_VALUE"""),"Highland Park Elementary School")</f>
        <v>Highland Park Elementary School</v>
      </c>
      <c r="D214" s="10" t="str">
        <f ca="1">IFERROR(__xludf.DUMMYFUNCTION("""COMPUTED_VALUE"""),"ES")</f>
        <v>ES</v>
      </c>
      <c r="E214" s="10">
        <f ca="1">IFERROR(__xludf.DUMMYFUNCTION("""COMPUTED_VALUE"""),263)</f>
        <v>263</v>
      </c>
      <c r="F214" s="10">
        <f ca="1">IFERROR(__xludf.DUMMYFUNCTION("""COMPUTED_VALUE"""),8)</f>
        <v>8</v>
      </c>
      <c r="G214" s="10">
        <f ca="1">IFERROR(__xludf.DUMMYFUNCTION("""COMPUTED_VALUE"""),138)</f>
        <v>138</v>
      </c>
      <c r="H214" s="10">
        <f ca="1">IFERROR(__xludf.DUMMYFUNCTION("""COMPUTED_VALUE"""),125)</f>
        <v>125</v>
      </c>
    </row>
    <row r="215" spans="1:8">
      <c r="A215" s="9">
        <f ca="1">IFERROR(__xludf.DUMMYFUNCTION("""COMPUTED_VALUE"""),70022)</f>
        <v>70022</v>
      </c>
      <c r="B215" s="10" t="str">
        <f ca="1">IFERROR(__xludf.DUMMYFUNCTION("""COMPUTED_VALUE"""),"Josef Weiner")</f>
        <v>Josef Weiner</v>
      </c>
      <c r="C215" s="10" t="str">
        <f ca="1">IFERROR(__xludf.DUMMYFUNCTION("""COMPUTED_VALUE"""),"Highland Park Elementary School")</f>
        <v>Highland Park Elementary School</v>
      </c>
      <c r="D215" s="10" t="str">
        <f ca="1">IFERROR(__xludf.DUMMYFUNCTION("""COMPUTED_VALUE"""),"ES")</f>
        <v>ES</v>
      </c>
      <c r="E215" s="10">
        <f ca="1">IFERROR(__xludf.DUMMYFUNCTION("""COMPUTED_VALUE"""),247)</f>
        <v>247</v>
      </c>
      <c r="F215" s="10">
        <f ca="1">IFERROR(__xludf.DUMMYFUNCTION("""COMPUTED_VALUE"""),6)</f>
        <v>6</v>
      </c>
      <c r="G215" s="10">
        <f ca="1">IFERROR(__xludf.DUMMYFUNCTION("""COMPUTED_VALUE"""),132)</f>
        <v>132</v>
      </c>
      <c r="H215" s="10">
        <f ca="1">IFERROR(__xludf.DUMMYFUNCTION("""COMPUTED_VALUE"""),115)</f>
        <v>115</v>
      </c>
    </row>
    <row r="216" spans="1:8">
      <c r="A216" s="9">
        <f ca="1">IFERROR(__xludf.DUMMYFUNCTION("""COMPUTED_VALUE"""),70023)</f>
        <v>70023</v>
      </c>
      <c r="B216" s="10" t="str">
        <f ca="1">IFERROR(__xludf.DUMMYFUNCTION("""COMPUTED_VALUE"""),"London Tracy")</f>
        <v>London Tracy</v>
      </c>
      <c r="C216" s="10" t="str">
        <f ca="1">IFERROR(__xludf.DUMMYFUNCTION("""COMPUTED_VALUE"""),"Highland Park Elementary School")</f>
        <v>Highland Park Elementary School</v>
      </c>
      <c r="D216" s="10" t="str">
        <f ca="1">IFERROR(__xludf.DUMMYFUNCTION("""COMPUTED_VALUE"""),"ES")</f>
        <v>ES</v>
      </c>
      <c r="E216" s="10">
        <f ca="1">IFERROR(__xludf.DUMMYFUNCTION("""COMPUTED_VALUE"""),236)</f>
        <v>236</v>
      </c>
      <c r="F216" s="10">
        <f ca="1">IFERROR(__xludf.DUMMYFUNCTION("""COMPUTED_VALUE"""),10)</f>
        <v>10</v>
      </c>
      <c r="G216" s="10">
        <f ca="1">IFERROR(__xludf.DUMMYFUNCTION("""COMPUTED_VALUE"""),138)</f>
        <v>138</v>
      </c>
      <c r="H216" s="10">
        <f ca="1">IFERROR(__xludf.DUMMYFUNCTION("""COMPUTED_VALUE"""),98)</f>
        <v>98</v>
      </c>
    </row>
    <row r="217" spans="1:8">
      <c r="A217" s="9">
        <f ca="1">IFERROR(__xludf.DUMMYFUNCTION("""COMPUTED_VALUE"""),70024)</f>
        <v>70024</v>
      </c>
      <c r="B217" s="10" t="str">
        <f ca="1">IFERROR(__xludf.DUMMYFUNCTION("""COMPUTED_VALUE"""),"Louis Garcia")</f>
        <v>Louis Garcia</v>
      </c>
      <c r="C217" s="10" t="str">
        <f ca="1">IFERROR(__xludf.DUMMYFUNCTION("""COMPUTED_VALUE"""),"Highland Park Elementary School")</f>
        <v>Highland Park Elementary School</v>
      </c>
      <c r="D217" s="10" t="str">
        <f ca="1">IFERROR(__xludf.DUMMYFUNCTION("""COMPUTED_VALUE"""),"ES")</f>
        <v>ES</v>
      </c>
      <c r="E217" s="10">
        <f ca="1">IFERROR(__xludf.DUMMYFUNCTION("""COMPUTED_VALUE"""),265)</f>
        <v>265</v>
      </c>
      <c r="F217" s="10">
        <f ca="1">IFERROR(__xludf.DUMMYFUNCTION("""COMPUTED_VALUE"""),9)</f>
        <v>9</v>
      </c>
      <c r="G217" s="10">
        <f ca="1">IFERROR(__xludf.DUMMYFUNCTION("""COMPUTED_VALUE"""),138)</f>
        <v>138</v>
      </c>
      <c r="H217" s="10">
        <f ca="1">IFERROR(__xludf.DUMMYFUNCTION("""COMPUTED_VALUE"""),127)</f>
        <v>127</v>
      </c>
    </row>
    <row r="218" spans="1:8">
      <c r="A218" s="9">
        <f ca="1">IFERROR(__xludf.DUMMYFUNCTION("""COMPUTED_VALUE"""),70025)</f>
        <v>70025</v>
      </c>
      <c r="B218" s="10" t="str">
        <f ca="1">IFERROR(__xludf.DUMMYFUNCTION("""COMPUTED_VALUE"""),"Louisa Marcek")</f>
        <v>Louisa Marcek</v>
      </c>
      <c r="C218" s="10" t="str">
        <f ca="1">IFERROR(__xludf.DUMMYFUNCTION("""COMPUTED_VALUE"""),"Highland Park Elementary School")</f>
        <v>Highland Park Elementary School</v>
      </c>
      <c r="D218" s="10" t="str">
        <f ca="1">IFERROR(__xludf.DUMMYFUNCTION("""COMPUTED_VALUE"""),"ES")</f>
        <v>ES</v>
      </c>
      <c r="E218" s="10">
        <f ca="1">IFERROR(__xludf.DUMMYFUNCTION("""COMPUTED_VALUE"""),210)</f>
        <v>210</v>
      </c>
      <c r="F218" s="10">
        <f ca="1">IFERROR(__xludf.DUMMYFUNCTION("""COMPUTED_VALUE"""),1)</f>
        <v>1</v>
      </c>
      <c r="G218" s="10">
        <f ca="1">IFERROR(__xludf.DUMMYFUNCTION("""COMPUTED_VALUE"""),127)</f>
        <v>127</v>
      </c>
      <c r="H218" s="10">
        <f ca="1">IFERROR(__xludf.DUMMYFUNCTION("""COMPUTED_VALUE"""),83)</f>
        <v>83</v>
      </c>
    </row>
    <row r="219" spans="1:8">
      <c r="A219" s="9">
        <f ca="1">IFERROR(__xludf.DUMMYFUNCTION("""COMPUTED_VALUE"""),70026)</f>
        <v>70026</v>
      </c>
      <c r="B219" s="10" t="str">
        <f ca="1">IFERROR(__xludf.DUMMYFUNCTION("""COMPUTED_VALUE"""),"Luke Schaeffer")</f>
        <v>Luke Schaeffer</v>
      </c>
      <c r="C219" s="10" t="str">
        <f ca="1">IFERROR(__xludf.DUMMYFUNCTION("""COMPUTED_VALUE"""),"Highland Park Elementary School")</f>
        <v>Highland Park Elementary School</v>
      </c>
      <c r="D219" s="10" t="str">
        <f ca="1">IFERROR(__xludf.DUMMYFUNCTION("""COMPUTED_VALUE"""),"ES")</f>
        <v>ES</v>
      </c>
      <c r="E219" s="10">
        <f ca="1">IFERROR(__xludf.DUMMYFUNCTION("""COMPUTED_VALUE"""),238)</f>
        <v>238</v>
      </c>
      <c r="F219" s="10">
        <f ca="1">IFERROR(__xludf.DUMMYFUNCTION("""COMPUTED_VALUE"""),6)</f>
        <v>6</v>
      </c>
      <c r="G219" s="10">
        <f ca="1">IFERROR(__xludf.DUMMYFUNCTION("""COMPUTED_VALUE"""),130)</f>
        <v>130</v>
      </c>
      <c r="H219" s="10">
        <f ca="1">IFERROR(__xludf.DUMMYFUNCTION("""COMPUTED_VALUE"""),108)</f>
        <v>108</v>
      </c>
    </row>
    <row r="220" spans="1:8">
      <c r="A220" s="9">
        <f ca="1">IFERROR(__xludf.DUMMYFUNCTION("""COMPUTED_VALUE"""),70027)</f>
        <v>70027</v>
      </c>
      <c r="B220" s="10" t="str">
        <f ca="1">IFERROR(__xludf.DUMMYFUNCTION("""COMPUTED_VALUE"""),"Margot Jacobson")</f>
        <v>Margot Jacobson</v>
      </c>
      <c r="C220" s="10" t="str">
        <f ca="1">IFERROR(__xludf.DUMMYFUNCTION("""COMPUTED_VALUE"""),"Highland Park Elementary School")</f>
        <v>Highland Park Elementary School</v>
      </c>
      <c r="D220" s="10" t="str">
        <f ca="1">IFERROR(__xludf.DUMMYFUNCTION("""COMPUTED_VALUE"""),"ES")</f>
        <v>ES</v>
      </c>
      <c r="E220" s="10">
        <f ca="1">IFERROR(__xludf.DUMMYFUNCTION("""COMPUTED_VALUE"""),239)</f>
        <v>239</v>
      </c>
      <c r="F220" s="10">
        <f ca="1">IFERROR(__xludf.DUMMYFUNCTION("""COMPUTED_VALUE"""),2)</f>
        <v>2</v>
      </c>
      <c r="G220" s="10">
        <f ca="1">IFERROR(__xludf.DUMMYFUNCTION("""COMPUTED_VALUE"""),126)</f>
        <v>126</v>
      </c>
      <c r="H220" s="10">
        <f ca="1">IFERROR(__xludf.DUMMYFUNCTION("""COMPUTED_VALUE"""),113)</f>
        <v>113</v>
      </c>
    </row>
    <row r="221" spans="1:8">
      <c r="A221" s="9">
        <f ca="1">IFERROR(__xludf.DUMMYFUNCTION("""COMPUTED_VALUE"""),70028)</f>
        <v>70028</v>
      </c>
      <c r="B221" s="10" t="str">
        <f ca="1">IFERROR(__xludf.DUMMYFUNCTION("""COMPUTED_VALUE"""),"Miles Yeoman")</f>
        <v>Miles Yeoman</v>
      </c>
      <c r="C221" s="10" t="str">
        <f ca="1">IFERROR(__xludf.DUMMYFUNCTION("""COMPUTED_VALUE"""),"Highland Park Elementary School")</f>
        <v>Highland Park Elementary School</v>
      </c>
      <c r="D221" s="10" t="str">
        <f ca="1">IFERROR(__xludf.DUMMYFUNCTION("""COMPUTED_VALUE"""),"ES")</f>
        <v>ES</v>
      </c>
      <c r="E221" s="10">
        <f ca="1">IFERROR(__xludf.DUMMYFUNCTION("""COMPUTED_VALUE"""),253)</f>
        <v>253</v>
      </c>
      <c r="F221" s="10">
        <f ca="1">IFERROR(__xludf.DUMMYFUNCTION("""COMPUTED_VALUE"""),6)</f>
        <v>6</v>
      </c>
      <c r="G221" s="10">
        <f ca="1">IFERROR(__xludf.DUMMYFUNCTION("""COMPUTED_VALUE"""),131)</f>
        <v>131</v>
      </c>
      <c r="H221" s="10">
        <f ca="1">IFERROR(__xludf.DUMMYFUNCTION("""COMPUTED_VALUE"""),122)</f>
        <v>122</v>
      </c>
    </row>
    <row r="222" spans="1:8">
      <c r="A222" s="9">
        <f ca="1">IFERROR(__xludf.DUMMYFUNCTION("""COMPUTED_VALUE"""),70029)</f>
        <v>70029</v>
      </c>
      <c r="B222" s="10" t="str">
        <f ca="1">IFERROR(__xludf.DUMMYFUNCTION("""COMPUTED_VALUE"""),"Nellie Quist")</f>
        <v>Nellie Quist</v>
      </c>
      <c r="C222" s="10" t="str">
        <f ca="1">IFERROR(__xludf.DUMMYFUNCTION("""COMPUTED_VALUE"""),"Highland Park Elementary School")</f>
        <v>Highland Park Elementary School</v>
      </c>
      <c r="D222" s="10" t="str">
        <f ca="1">IFERROR(__xludf.DUMMYFUNCTION("""COMPUTED_VALUE"""),"ES")</f>
        <v>ES</v>
      </c>
      <c r="E222" s="10">
        <f ca="1">IFERROR(__xludf.DUMMYFUNCTION("""COMPUTED_VALUE"""),266)</f>
        <v>266</v>
      </c>
      <c r="F222" s="10">
        <f ca="1">IFERROR(__xludf.DUMMYFUNCTION("""COMPUTED_VALUE"""),10)</f>
        <v>10</v>
      </c>
      <c r="G222" s="10">
        <f ca="1">IFERROR(__xludf.DUMMYFUNCTION("""COMPUTED_VALUE"""),137)</f>
        <v>137</v>
      </c>
      <c r="H222" s="10">
        <f ca="1">IFERROR(__xludf.DUMMYFUNCTION("""COMPUTED_VALUE"""),129)</f>
        <v>129</v>
      </c>
    </row>
    <row r="223" spans="1:8">
      <c r="A223" s="9">
        <f ca="1">IFERROR(__xludf.DUMMYFUNCTION("""COMPUTED_VALUE"""),70030)</f>
        <v>70030</v>
      </c>
      <c r="B223" s="10" t="str">
        <f ca="1">IFERROR(__xludf.DUMMYFUNCTION("""COMPUTED_VALUE"""),"Louis Marchand")</f>
        <v>Louis Marchand</v>
      </c>
      <c r="C223" s="10" t="str">
        <f ca="1">IFERROR(__xludf.DUMMYFUNCTION("""COMPUTED_VALUE"""),"Highland Park Elementary School")</f>
        <v>Highland Park Elementary School</v>
      </c>
      <c r="D223" s="10" t="str">
        <f ca="1">IFERROR(__xludf.DUMMYFUNCTION("""COMPUTED_VALUE"""),"ES")</f>
        <v>ES</v>
      </c>
      <c r="E223" s="10">
        <f ca="1">IFERROR(__xludf.DUMMYFUNCTION("""COMPUTED_VALUE"""),273)</f>
        <v>273</v>
      </c>
      <c r="F223" s="10">
        <f ca="1">IFERROR(__xludf.DUMMYFUNCTION("""COMPUTED_VALUE"""),13)</f>
        <v>13</v>
      </c>
      <c r="G223" s="10">
        <f ca="1">IFERROR(__xludf.DUMMYFUNCTION("""COMPUTED_VALUE"""),144)</f>
        <v>144</v>
      </c>
      <c r="H223" s="10">
        <f ca="1">IFERROR(__xludf.DUMMYFUNCTION("""COMPUTED_VALUE"""),129)</f>
        <v>129</v>
      </c>
    </row>
    <row r="224" spans="1:8">
      <c r="A224" s="9">
        <f ca="1">IFERROR(__xludf.DUMMYFUNCTION("""COMPUTED_VALUE"""),70031)</f>
        <v>70031</v>
      </c>
      <c r="B224" s="10" t="str">
        <f ca="1">IFERROR(__xludf.DUMMYFUNCTION("""COMPUTED_VALUE"""),"Noelle Rodriguez")</f>
        <v>Noelle Rodriguez</v>
      </c>
      <c r="C224" s="10" t="str">
        <f ca="1">IFERROR(__xludf.DUMMYFUNCTION("""COMPUTED_VALUE"""),"Highland Park Elementary School")</f>
        <v>Highland Park Elementary School</v>
      </c>
      <c r="D224" s="10" t="str">
        <f ca="1">IFERROR(__xludf.DUMMYFUNCTION("""COMPUTED_VALUE"""),"ES")</f>
        <v>ES</v>
      </c>
      <c r="E224" s="10">
        <f ca="1">IFERROR(__xludf.DUMMYFUNCTION("""COMPUTED_VALUE"""),248)</f>
        <v>248</v>
      </c>
      <c r="F224" s="10">
        <f ca="1">IFERROR(__xludf.DUMMYFUNCTION("""COMPUTED_VALUE"""),6)</f>
        <v>6</v>
      </c>
      <c r="G224" s="10">
        <f ca="1">IFERROR(__xludf.DUMMYFUNCTION("""COMPUTED_VALUE"""),136)</f>
        <v>136</v>
      </c>
      <c r="H224" s="10">
        <f ca="1">IFERROR(__xludf.DUMMYFUNCTION("""COMPUTED_VALUE"""),112)</f>
        <v>112</v>
      </c>
    </row>
    <row r="225" spans="1:8">
      <c r="A225" s="9">
        <f ca="1">IFERROR(__xludf.DUMMYFUNCTION("""COMPUTED_VALUE"""),70032)</f>
        <v>70032</v>
      </c>
      <c r="B225" s="10" t="str">
        <f ca="1">IFERROR(__xludf.DUMMYFUNCTION("""COMPUTED_VALUE"""),"Oliver Lovan")</f>
        <v>Oliver Lovan</v>
      </c>
      <c r="C225" s="10" t="str">
        <f ca="1">IFERROR(__xludf.DUMMYFUNCTION("""COMPUTED_VALUE"""),"Highland Park Elementary School")</f>
        <v>Highland Park Elementary School</v>
      </c>
      <c r="D225" s="10" t="str">
        <f ca="1">IFERROR(__xludf.DUMMYFUNCTION("""COMPUTED_VALUE"""),"ES")</f>
        <v>ES</v>
      </c>
      <c r="E225" s="10">
        <f ca="1">IFERROR(__xludf.DUMMYFUNCTION("""COMPUTED_VALUE"""),250)</f>
        <v>250</v>
      </c>
      <c r="F225" s="10">
        <f ca="1">IFERROR(__xludf.DUMMYFUNCTION("""COMPUTED_VALUE"""),8)</f>
        <v>8</v>
      </c>
      <c r="G225" s="10">
        <f ca="1">IFERROR(__xludf.DUMMYFUNCTION("""COMPUTED_VALUE"""),134)</f>
        <v>134</v>
      </c>
      <c r="H225" s="10">
        <f ca="1">IFERROR(__xludf.DUMMYFUNCTION("""COMPUTED_VALUE"""),116)</f>
        <v>116</v>
      </c>
    </row>
    <row r="226" spans="1:8">
      <c r="A226" s="9">
        <f ca="1">IFERROR(__xludf.DUMMYFUNCTION("""COMPUTED_VALUE"""),70033)</f>
        <v>70033</v>
      </c>
      <c r="B226" s="10" t="str">
        <f ca="1">IFERROR(__xludf.DUMMYFUNCTION("""COMPUTED_VALUE"""),"Owen Gray")</f>
        <v>Owen Gray</v>
      </c>
      <c r="C226" s="10" t="str">
        <f ca="1">IFERROR(__xludf.DUMMYFUNCTION("""COMPUTED_VALUE"""),"Highland Park Elementary School")</f>
        <v>Highland Park Elementary School</v>
      </c>
      <c r="D226" s="10" t="str">
        <f ca="1">IFERROR(__xludf.DUMMYFUNCTION("""COMPUTED_VALUE"""),"ES")</f>
        <v>ES</v>
      </c>
      <c r="E226" s="10">
        <f ca="1">IFERROR(__xludf.DUMMYFUNCTION("""COMPUTED_VALUE"""),253)</f>
        <v>253</v>
      </c>
      <c r="F226" s="10">
        <f ca="1">IFERROR(__xludf.DUMMYFUNCTION("""COMPUTED_VALUE"""),9)</f>
        <v>9</v>
      </c>
      <c r="G226" s="10">
        <f ca="1">IFERROR(__xludf.DUMMYFUNCTION("""COMPUTED_VALUE"""),136)</f>
        <v>136</v>
      </c>
      <c r="H226" s="10">
        <f ca="1">IFERROR(__xludf.DUMMYFUNCTION("""COMPUTED_VALUE"""),117)</f>
        <v>117</v>
      </c>
    </row>
    <row r="227" spans="1:8">
      <c r="A227" s="9">
        <f ca="1">IFERROR(__xludf.DUMMYFUNCTION("""COMPUTED_VALUE"""),70034)</f>
        <v>70034</v>
      </c>
      <c r="B227" s="10" t="str">
        <f ca="1">IFERROR(__xludf.DUMMYFUNCTION("""COMPUTED_VALUE"""),"Pearl Denny")</f>
        <v>Pearl Denny</v>
      </c>
      <c r="C227" s="10" t="str">
        <f ca="1">IFERROR(__xludf.DUMMYFUNCTION("""COMPUTED_VALUE"""),"Highland Park Elementary School")</f>
        <v>Highland Park Elementary School</v>
      </c>
      <c r="D227" s="10" t="str">
        <f ca="1">IFERROR(__xludf.DUMMYFUNCTION("""COMPUTED_VALUE"""),"ES")</f>
        <v>ES</v>
      </c>
      <c r="E227" s="10">
        <f ca="1">IFERROR(__xludf.DUMMYFUNCTION("""COMPUTED_VALUE"""),265)</f>
        <v>265</v>
      </c>
      <c r="F227" s="10">
        <f ca="1">IFERROR(__xludf.DUMMYFUNCTION("""COMPUTED_VALUE"""),9)</f>
        <v>9</v>
      </c>
      <c r="G227" s="10">
        <f ca="1">IFERROR(__xludf.DUMMYFUNCTION("""COMPUTED_VALUE"""),137)</f>
        <v>137</v>
      </c>
      <c r="H227" s="10">
        <f ca="1">IFERROR(__xludf.DUMMYFUNCTION("""COMPUTED_VALUE"""),128)</f>
        <v>128</v>
      </c>
    </row>
    <row r="228" spans="1:8">
      <c r="A228" s="9">
        <f ca="1">IFERROR(__xludf.DUMMYFUNCTION("""COMPUTED_VALUE"""),70035)</f>
        <v>70035</v>
      </c>
      <c r="B228" s="10" t="str">
        <f ca="1">IFERROR(__xludf.DUMMYFUNCTION("""COMPUTED_VALUE"""),"Penelope Papavasiliou")</f>
        <v>Penelope Papavasiliou</v>
      </c>
      <c r="C228" s="10" t="str">
        <f ca="1">IFERROR(__xludf.DUMMYFUNCTION("""COMPUTED_VALUE"""),"Highland Park Elementary School")</f>
        <v>Highland Park Elementary School</v>
      </c>
      <c r="D228" s="10" t="str">
        <f ca="1">IFERROR(__xludf.DUMMYFUNCTION("""COMPUTED_VALUE"""),"ES")</f>
        <v>ES</v>
      </c>
      <c r="E228" s="10">
        <f ca="1">IFERROR(__xludf.DUMMYFUNCTION("""COMPUTED_VALUE"""),239)</f>
        <v>239</v>
      </c>
      <c r="F228" s="10">
        <f ca="1">IFERROR(__xludf.DUMMYFUNCTION("""COMPUTED_VALUE"""),4)</f>
        <v>4</v>
      </c>
      <c r="G228" s="10">
        <f ca="1">IFERROR(__xludf.DUMMYFUNCTION("""COMPUTED_VALUE"""),119)</f>
        <v>119</v>
      </c>
      <c r="H228" s="10">
        <f ca="1">IFERROR(__xludf.DUMMYFUNCTION("""COMPUTED_VALUE"""),120)</f>
        <v>120</v>
      </c>
    </row>
    <row r="229" spans="1:8">
      <c r="A229" s="9">
        <f ca="1">IFERROR(__xludf.DUMMYFUNCTION("""COMPUTED_VALUE"""),70036)</f>
        <v>70036</v>
      </c>
      <c r="B229" s="10" t="str">
        <f ca="1">IFERROR(__xludf.DUMMYFUNCTION("""COMPUTED_VALUE"""),"Ray Lindenschmidt")</f>
        <v>Ray Lindenschmidt</v>
      </c>
      <c r="C229" s="10" t="str">
        <f ca="1">IFERROR(__xludf.DUMMYFUNCTION("""COMPUTED_VALUE"""),"Highland Park Elementary School")</f>
        <v>Highland Park Elementary School</v>
      </c>
      <c r="D229" s="10" t="str">
        <f ca="1">IFERROR(__xludf.DUMMYFUNCTION("""COMPUTED_VALUE"""),"ES")</f>
        <v>ES</v>
      </c>
      <c r="E229" s="10">
        <f ca="1">IFERROR(__xludf.DUMMYFUNCTION("""COMPUTED_VALUE"""),208)</f>
        <v>208</v>
      </c>
      <c r="F229" s="10">
        <f ca="1">IFERROR(__xludf.DUMMYFUNCTION("""COMPUTED_VALUE"""),3)</f>
        <v>3</v>
      </c>
      <c r="G229" s="10">
        <f ca="1">IFERROR(__xludf.DUMMYFUNCTION("""COMPUTED_VALUE"""),119)</f>
        <v>119</v>
      </c>
      <c r="H229" s="10">
        <f ca="1">IFERROR(__xludf.DUMMYFUNCTION("""COMPUTED_VALUE"""),89)</f>
        <v>89</v>
      </c>
    </row>
    <row r="230" spans="1:8">
      <c r="A230" s="9">
        <f ca="1">IFERROR(__xludf.DUMMYFUNCTION("""COMPUTED_VALUE"""),70037)</f>
        <v>70037</v>
      </c>
      <c r="B230" s="10" t="str">
        <f ca="1">IFERROR(__xludf.DUMMYFUNCTION("""COMPUTED_VALUE"""),"Ruby Wallace Ho")</f>
        <v>Ruby Wallace Ho</v>
      </c>
      <c r="C230" s="10" t="str">
        <f ca="1">IFERROR(__xludf.DUMMYFUNCTION("""COMPUTED_VALUE"""),"Highland Park Elementary School")</f>
        <v>Highland Park Elementary School</v>
      </c>
      <c r="D230" s="10" t="str">
        <f ca="1">IFERROR(__xludf.DUMMYFUNCTION("""COMPUTED_VALUE"""),"ES")</f>
        <v>ES</v>
      </c>
      <c r="E230" s="10">
        <f ca="1">IFERROR(__xludf.DUMMYFUNCTION("""COMPUTED_VALUE"""),216)</f>
        <v>216</v>
      </c>
      <c r="F230" s="10">
        <f ca="1">IFERROR(__xludf.DUMMYFUNCTION("""COMPUTED_VALUE"""),1)</f>
        <v>1</v>
      </c>
      <c r="G230" s="10">
        <f ca="1">IFERROR(__xludf.DUMMYFUNCTION("""COMPUTED_VALUE"""),110)</f>
        <v>110</v>
      </c>
      <c r="H230" s="10">
        <f ca="1">IFERROR(__xludf.DUMMYFUNCTION("""COMPUTED_VALUE"""),106)</f>
        <v>106</v>
      </c>
    </row>
    <row r="231" spans="1:8">
      <c r="A231" s="9">
        <f ca="1">IFERROR(__xludf.DUMMYFUNCTION("""COMPUTED_VALUE"""),70039)</f>
        <v>70039</v>
      </c>
      <c r="B231" s="10" t="str">
        <f ca="1">IFERROR(__xludf.DUMMYFUNCTION("""COMPUTED_VALUE"""),"Scarlett Tashnick")</f>
        <v>Scarlett Tashnick</v>
      </c>
      <c r="C231" s="10" t="str">
        <f ca="1">IFERROR(__xludf.DUMMYFUNCTION("""COMPUTED_VALUE"""),"Highland Park Elementary School")</f>
        <v>Highland Park Elementary School</v>
      </c>
      <c r="D231" s="10" t="str">
        <f ca="1">IFERROR(__xludf.DUMMYFUNCTION("""COMPUTED_VALUE"""),"ES")</f>
        <v>ES</v>
      </c>
      <c r="E231" s="10">
        <f ca="1">IFERROR(__xludf.DUMMYFUNCTION("""COMPUTED_VALUE"""),239)</f>
        <v>239</v>
      </c>
      <c r="F231" s="10">
        <f ca="1">IFERROR(__xludf.DUMMYFUNCTION("""COMPUTED_VALUE"""),4)</f>
        <v>4</v>
      </c>
      <c r="G231" s="10">
        <f ca="1">IFERROR(__xludf.DUMMYFUNCTION("""COMPUTED_VALUE"""),129)</f>
        <v>129</v>
      </c>
      <c r="H231" s="10">
        <f ca="1">IFERROR(__xludf.DUMMYFUNCTION("""COMPUTED_VALUE"""),110)</f>
        <v>110</v>
      </c>
    </row>
    <row r="232" spans="1:8">
      <c r="A232" s="9">
        <f ca="1">IFERROR(__xludf.DUMMYFUNCTION("""COMPUTED_VALUE"""),70040)</f>
        <v>70040</v>
      </c>
      <c r="B232" s="10" t="str">
        <f ca="1">IFERROR(__xludf.DUMMYFUNCTION("""COMPUTED_VALUE"""),"Seva Deshpande")</f>
        <v>Seva Deshpande</v>
      </c>
      <c r="C232" s="10" t="str">
        <f ca="1">IFERROR(__xludf.DUMMYFUNCTION("""COMPUTED_VALUE"""),"Highland Park Elementary School")</f>
        <v>Highland Park Elementary School</v>
      </c>
      <c r="D232" s="10" t="str">
        <f ca="1">IFERROR(__xludf.DUMMYFUNCTION("""COMPUTED_VALUE"""),"ES")</f>
        <v>ES</v>
      </c>
      <c r="E232" s="10">
        <f ca="1">IFERROR(__xludf.DUMMYFUNCTION("""COMPUTED_VALUE"""),257)</f>
        <v>257</v>
      </c>
      <c r="F232" s="10">
        <f ca="1">IFERROR(__xludf.DUMMYFUNCTION("""COMPUTED_VALUE"""),7)</f>
        <v>7</v>
      </c>
      <c r="G232" s="10">
        <f ca="1">IFERROR(__xludf.DUMMYFUNCTION("""COMPUTED_VALUE"""),132)</f>
        <v>132</v>
      </c>
      <c r="H232" s="10">
        <f ca="1">IFERROR(__xludf.DUMMYFUNCTION("""COMPUTED_VALUE"""),125)</f>
        <v>125</v>
      </c>
    </row>
    <row r="233" spans="1:8">
      <c r="A233" s="9">
        <f ca="1">IFERROR(__xludf.DUMMYFUNCTION("""COMPUTED_VALUE"""),70041)</f>
        <v>70041</v>
      </c>
      <c r="B233" s="10" t="str">
        <f ca="1">IFERROR(__xludf.DUMMYFUNCTION("""COMPUTED_VALUE"""),"Tyler Truitt")</f>
        <v>Tyler Truitt</v>
      </c>
      <c r="C233" s="10" t="str">
        <f ca="1">IFERROR(__xludf.DUMMYFUNCTION("""COMPUTED_VALUE"""),"Highland Park Elementary School")</f>
        <v>Highland Park Elementary School</v>
      </c>
      <c r="D233" s="10" t="str">
        <f ca="1">IFERROR(__xludf.DUMMYFUNCTION("""COMPUTED_VALUE"""),"ES")</f>
        <v>ES</v>
      </c>
      <c r="E233" s="10">
        <f ca="1">IFERROR(__xludf.DUMMYFUNCTION("""COMPUTED_VALUE"""),263)</f>
        <v>263</v>
      </c>
      <c r="F233" s="10">
        <f ca="1">IFERROR(__xludf.DUMMYFUNCTION("""COMPUTED_VALUE"""),8)</f>
        <v>8</v>
      </c>
      <c r="G233" s="10">
        <f ca="1">IFERROR(__xludf.DUMMYFUNCTION("""COMPUTED_VALUE"""),138)</f>
        <v>138</v>
      </c>
      <c r="H233" s="10">
        <f ca="1">IFERROR(__xludf.DUMMYFUNCTION("""COMPUTED_VALUE"""),125)</f>
        <v>125</v>
      </c>
    </row>
    <row r="234" spans="1:8">
      <c r="A234" s="9">
        <f ca="1">IFERROR(__xludf.DUMMYFUNCTION("""COMPUTED_VALUE"""),70042)</f>
        <v>70042</v>
      </c>
      <c r="B234" s="10" t="str">
        <f ca="1">IFERROR(__xludf.DUMMYFUNCTION("""COMPUTED_VALUE"""),"Winslet McGuire")</f>
        <v>Winslet McGuire</v>
      </c>
      <c r="C234" s="10" t="str">
        <f ca="1">IFERROR(__xludf.DUMMYFUNCTION("""COMPUTED_VALUE"""),"Highland Park Elementary School")</f>
        <v>Highland Park Elementary School</v>
      </c>
      <c r="D234" s="10" t="str">
        <f ca="1">IFERROR(__xludf.DUMMYFUNCTION("""COMPUTED_VALUE"""),"ES")</f>
        <v>ES</v>
      </c>
      <c r="E234" s="10">
        <f ca="1">IFERROR(__xludf.DUMMYFUNCTION("""COMPUTED_VALUE"""),243)</f>
        <v>243</v>
      </c>
      <c r="F234" s="10">
        <f ca="1">IFERROR(__xludf.DUMMYFUNCTION("""COMPUTED_VALUE"""),3)</f>
        <v>3</v>
      </c>
      <c r="G234" s="10">
        <f ca="1">IFERROR(__xludf.DUMMYFUNCTION("""COMPUTED_VALUE"""),125)</f>
        <v>125</v>
      </c>
      <c r="H234" s="10">
        <f ca="1">IFERROR(__xludf.DUMMYFUNCTION("""COMPUTED_VALUE"""),118)</f>
        <v>118</v>
      </c>
    </row>
    <row r="235" spans="1:8">
      <c r="A235" s="9">
        <f ca="1">IFERROR(__xludf.DUMMYFUNCTION("""COMPUTED_VALUE"""),80001)</f>
        <v>80001</v>
      </c>
      <c r="B235" s="10" t="str">
        <f ca="1">IFERROR(__xludf.DUMMYFUNCTION("""COMPUTED_VALUE"""),"Aaron Hong")</f>
        <v>Aaron Hong</v>
      </c>
      <c r="C235" s="10" t="str">
        <f ca="1">IFERROR(__xludf.DUMMYFUNCTION("""COMPUTED_VALUE"""),"Kealing Middle School")</f>
        <v>Kealing Middle School</v>
      </c>
      <c r="D235" s="10" t="str">
        <f ca="1">IFERROR(__xludf.DUMMYFUNCTION("""COMPUTED_VALUE"""),"MS")</f>
        <v>MS</v>
      </c>
      <c r="E235" s="10">
        <f ca="1">IFERROR(__xludf.DUMMYFUNCTION("""COMPUTED_VALUE"""),254)</f>
        <v>254</v>
      </c>
      <c r="F235" s="10">
        <f ca="1">IFERROR(__xludf.DUMMYFUNCTION("""COMPUTED_VALUE"""),10)</f>
        <v>10</v>
      </c>
      <c r="G235" s="10">
        <f ca="1">IFERROR(__xludf.DUMMYFUNCTION("""COMPUTED_VALUE"""),142)</f>
        <v>142</v>
      </c>
      <c r="H235" s="10">
        <f ca="1">IFERROR(__xludf.DUMMYFUNCTION("""COMPUTED_VALUE"""),112)</f>
        <v>112</v>
      </c>
    </row>
    <row r="236" spans="1:8">
      <c r="A236" s="9">
        <f ca="1">IFERROR(__xludf.DUMMYFUNCTION("""COMPUTED_VALUE"""),80002)</f>
        <v>80002</v>
      </c>
      <c r="B236" s="10" t="str">
        <f ca="1">IFERROR(__xludf.DUMMYFUNCTION("""COMPUTED_VALUE"""),"Addie Hutto")</f>
        <v>Addie Hutto</v>
      </c>
      <c r="C236" s="10" t="str">
        <f ca="1">IFERROR(__xludf.DUMMYFUNCTION("""COMPUTED_VALUE"""),"Kealing Middle School")</f>
        <v>Kealing Middle School</v>
      </c>
      <c r="D236" s="10" t="str">
        <f ca="1">IFERROR(__xludf.DUMMYFUNCTION("""COMPUTED_VALUE"""),"MS")</f>
        <v>MS</v>
      </c>
      <c r="E236" s="10">
        <f ca="1">IFERROR(__xludf.DUMMYFUNCTION("""COMPUTED_VALUE"""),269)</f>
        <v>269</v>
      </c>
      <c r="F236" s="10">
        <f ca="1">IFERROR(__xludf.DUMMYFUNCTION("""COMPUTED_VALUE"""),11)</f>
        <v>11</v>
      </c>
      <c r="G236" s="10">
        <f ca="1">IFERROR(__xludf.DUMMYFUNCTION("""COMPUTED_VALUE"""),141)</f>
        <v>141</v>
      </c>
      <c r="H236" s="10">
        <f ca="1">IFERROR(__xludf.DUMMYFUNCTION("""COMPUTED_VALUE"""),128)</f>
        <v>128</v>
      </c>
    </row>
    <row r="237" spans="1:8">
      <c r="A237" s="9">
        <f ca="1">IFERROR(__xludf.DUMMYFUNCTION("""COMPUTED_VALUE"""),80004)</f>
        <v>80004</v>
      </c>
      <c r="B237" s="10" t="str">
        <f ca="1">IFERROR(__xludf.DUMMYFUNCTION("""COMPUTED_VALUE"""),"Aidan Buckman")</f>
        <v>Aidan Buckman</v>
      </c>
      <c r="C237" s="10" t="str">
        <f ca="1">IFERROR(__xludf.DUMMYFUNCTION("""COMPUTED_VALUE"""),"Kealing Middle School")</f>
        <v>Kealing Middle School</v>
      </c>
      <c r="D237" s="10" t="str">
        <f ca="1">IFERROR(__xludf.DUMMYFUNCTION("""COMPUTED_VALUE"""),"MS")</f>
        <v>MS</v>
      </c>
      <c r="E237" s="10">
        <f ca="1">IFERROR(__xludf.DUMMYFUNCTION("""COMPUTED_VALUE"""),271)</f>
        <v>271</v>
      </c>
      <c r="F237" s="10">
        <f ca="1">IFERROR(__xludf.DUMMYFUNCTION("""COMPUTED_VALUE"""),9)</f>
        <v>9</v>
      </c>
      <c r="G237" s="10">
        <f ca="1">IFERROR(__xludf.DUMMYFUNCTION("""COMPUTED_VALUE"""),140)</f>
        <v>140</v>
      </c>
      <c r="H237" s="10">
        <f ca="1">IFERROR(__xludf.DUMMYFUNCTION("""COMPUTED_VALUE"""),131)</f>
        <v>131</v>
      </c>
    </row>
    <row r="238" spans="1:8">
      <c r="A238" s="9">
        <f ca="1">IFERROR(__xludf.DUMMYFUNCTION("""COMPUTED_VALUE"""),80005)</f>
        <v>80005</v>
      </c>
      <c r="B238" s="10" t="str">
        <f ca="1">IFERROR(__xludf.DUMMYFUNCTION("""COMPUTED_VALUE"""),"Aiden Flores")</f>
        <v>Aiden Flores</v>
      </c>
      <c r="C238" s="10" t="str">
        <f ca="1">IFERROR(__xludf.DUMMYFUNCTION("""COMPUTED_VALUE"""),"Kealing Middle School")</f>
        <v>Kealing Middle School</v>
      </c>
      <c r="D238" s="10" t="str">
        <f ca="1">IFERROR(__xludf.DUMMYFUNCTION("""COMPUTED_VALUE"""),"MS")</f>
        <v>MS</v>
      </c>
      <c r="E238" s="10">
        <f ca="1">IFERROR(__xludf.DUMMYFUNCTION("""COMPUTED_VALUE"""),252)</f>
        <v>252</v>
      </c>
      <c r="F238" s="10">
        <f ca="1">IFERROR(__xludf.DUMMYFUNCTION("""COMPUTED_VALUE"""),6)</f>
        <v>6</v>
      </c>
      <c r="G238" s="10">
        <f ca="1">IFERROR(__xludf.DUMMYFUNCTION("""COMPUTED_VALUE"""),129)</f>
        <v>129</v>
      </c>
      <c r="H238" s="10">
        <f ca="1">IFERROR(__xludf.DUMMYFUNCTION("""COMPUTED_VALUE"""),123)</f>
        <v>123</v>
      </c>
    </row>
    <row r="239" spans="1:8">
      <c r="A239" s="9">
        <f ca="1">IFERROR(__xludf.DUMMYFUNCTION("""COMPUTED_VALUE"""),80006)</f>
        <v>80006</v>
      </c>
      <c r="B239" s="10" t="str">
        <f ca="1">IFERROR(__xludf.DUMMYFUNCTION("""COMPUTED_VALUE"""),"Akash Arcuri")</f>
        <v>Akash Arcuri</v>
      </c>
      <c r="C239" s="10" t="str">
        <f ca="1">IFERROR(__xludf.DUMMYFUNCTION("""COMPUTED_VALUE"""),"Kealing Middle School")</f>
        <v>Kealing Middle School</v>
      </c>
      <c r="D239" s="10" t="str">
        <f ca="1">IFERROR(__xludf.DUMMYFUNCTION("""COMPUTED_VALUE"""),"MS")</f>
        <v>MS</v>
      </c>
      <c r="E239" s="10">
        <f ca="1">IFERROR(__xludf.DUMMYFUNCTION("""COMPUTED_VALUE"""),216)</f>
        <v>216</v>
      </c>
      <c r="F239" s="10">
        <f ca="1">IFERROR(__xludf.DUMMYFUNCTION("""COMPUTED_VALUE"""),3)</f>
        <v>3</v>
      </c>
      <c r="G239" s="10">
        <f ca="1">IFERROR(__xludf.DUMMYFUNCTION("""COMPUTED_VALUE"""),118)</f>
        <v>118</v>
      </c>
      <c r="H239" s="10">
        <f ca="1">IFERROR(__xludf.DUMMYFUNCTION("""COMPUTED_VALUE"""),98)</f>
        <v>98</v>
      </c>
    </row>
    <row r="240" spans="1:8">
      <c r="A240" s="9">
        <f ca="1">IFERROR(__xludf.DUMMYFUNCTION("""COMPUTED_VALUE"""),80007)</f>
        <v>80007</v>
      </c>
      <c r="B240" s="10" t="str">
        <f ca="1">IFERROR(__xludf.DUMMYFUNCTION("""COMPUTED_VALUE"""),"Anika Yenamandra")</f>
        <v>Anika Yenamandra</v>
      </c>
      <c r="C240" s="10" t="str">
        <f ca="1">IFERROR(__xludf.DUMMYFUNCTION("""COMPUTED_VALUE"""),"Kealing Middle School")</f>
        <v>Kealing Middle School</v>
      </c>
      <c r="D240" s="10" t="str">
        <f ca="1">IFERROR(__xludf.DUMMYFUNCTION("""COMPUTED_VALUE"""),"MS")</f>
        <v>MS</v>
      </c>
      <c r="E240" s="10">
        <f ca="1">IFERROR(__xludf.DUMMYFUNCTION("""COMPUTED_VALUE"""),219)</f>
        <v>219</v>
      </c>
      <c r="F240" s="10">
        <f ca="1">IFERROR(__xludf.DUMMYFUNCTION("""COMPUTED_VALUE"""),5)</f>
        <v>5</v>
      </c>
      <c r="G240" s="10">
        <f ca="1">IFERROR(__xludf.DUMMYFUNCTION("""COMPUTED_VALUE"""),127)</f>
        <v>127</v>
      </c>
      <c r="H240" s="10">
        <f ca="1">IFERROR(__xludf.DUMMYFUNCTION("""COMPUTED_VALUE"""),92)</f>
        <v>92</v>
      </c>
    </row>
    <row r="241" spans="1:8">
      <c r="A241" s="9">
        <f ca="1">IFERROR(__xludf.DUMMYFUNCTION("""COMPUTED_VALUE"""),80008)</f>
        <v>80008</v>
      </c>
      <c r="B241" s="10" t="str">
        <f ca="1">IFERROR(__xludf.DUMMYFUNCTION("""COMPUTED_VALUE"""),"Apollo Griffin")</f>
        <v>Apollo Griffin</v>
      </c>
      <c r="C241" s="10" t="str">
        <f ca="1">IFERROR(__xludf.DUMMYFUNCTION("""COMPUTED_VALUE"""),"Kealing Middle School")</f>
        <v>Kealing Middle School</v>
      </c>
      <c r="D241" s="10" t="str">
        <f ca="1">IFERROR(__xludf.DUMMYFUNCTION("""COMPUTED_VALUE"""),"MS")</f>
        <v>MS</v>
      </c>
      <c r="E241" s="10">
        <f ca="1">IFERROR(__xludf.DUMMYFUNCTION("""COMPUTED_VALUE"""),246)</f>
        <v>246</v>
      </c>
      <c r="F241" s="10">
        <f ca="1">IFERROR(__xludf.DUMMYFUNCTION("""COMPUTED_VALUE"""),4)</f>
        <v>4</v>
      </c>
      <c r="G241" s="10">
        <f ca="1">IFERROR(__xludf.DUMMYFUNCTION("""COMPUTED_VALUE"""),134)</f>
        <v>134</v>
      </c>
      <c r="H241" s="10">
        <f ca="1">IFERROR(__xludf.DUMMYFUNCTION("""COMPUTED_VALUE"""),112)</f>
        <v>112</v>
      </c>
    </row>
    <row r="242" spans="1:8">
      <c r="A242" s="9">
        <f ca="1">IFERROR(__xludf.DUMMYFUNCTION("""COMPUTED_VALUE"""),80009)</f>
        <v>80009</v>
      </c>
      <c r="B242" s="10" t="str">
        <f ca="1">IFERROR(__xludf.DUMMYFUNCTION("""COMPUTED_VALUE"""),"Arin Pradhan")</f>
        <v>Arin Pradhan</v>
      </c>
      <c r="C242" s="10" t="str">
        <f ca="1">IFERROR(__xludf.DUMMYFUNCTION("""COMPUTED_VALUE"""),"Kealing Middle School")</f>
        <v>Kealing Middle School</v>
      </c>
      <c r="D242" s="10" t="str">
        <f ca="1">IFERROR(__xludf.DUMMYFUNCTION("""COMPUTED_VALUE"""),"MS")</f>
        <v>MS</v>
      </c>
      <c r="E242" s="10">
        <f ca="1">IFERROR(__xludf.DUMMYFUNCTION("""COMPUTED_VALUE"""),185)</f>
        <v>185</v>
      </c>
      <c r="F242" s="10">
        <f ca="1">IFERROR(__xludf.DUMMYFUNCTION("""COMPUTED_VALUE"""),2)</f>
        <v>2</v>
      </c>
      <c r="G242" s="10">
        <f ca="1">IFERROR(__xludf.DUMMYFUNCTION("""COMPUTED_VALUE"""),112)</f>
        <v>112</v>
      </c>
      <c r="H242" s="10">
        <f ca="1">IFERROR(__xludf.DUMMYFUNCTION("""COMPUTED_VALUE"""),73)</f>
        <v>73</v>
      </c>
    </row>
    <row r="243" spans="1:8">
      <c r="A243" s="9">
        <f ca="1">IFERROR(__xludf.DUMMYFUNCTION("""COMPUTED_VALUE"""),80010)</f>
        <v>80010</v>
      </c>
      <c r="B243" s="10" t="str">
        <f ca="1">IFERROR(__xludf.DUMMYFUNCTION("""COMPUTED_VALUE"""),"Asher Faulds")</f>
        <v>Asher Faulds</v>
      </c>
      <c r="C243" s="10" t="str">
        <f ca="1">IFERROR(__xludf.DUMMYFUNCTION("""COMPUTED_VALUE"""),"Kealing Middle School")</f>
        <v>Kealing Middle School</v>
      </c>
      <c r="D243" s="10" t="str">
        <f ca="1">IFERROR(__xludf.DUMMYFUNCTION("""COMPUTED_VALUE"""),"MS")</f>
        <v>MS</v>
      </c>
      <c r="E243" s="10">
        <f ca="1">IFERROR(__xludf.DUMMYFUNCTION("""COMPUTED_VALUE"""),256)</f>
        <v>256</v>
      </c>
      <c r="F243" s="10">
        <f ca="1">IFERROR(__xludf.DUMMYFUNCTION("""COMPUTED_VALUE"""),7)</f>
        <v>7</v>
      </c>
      <c r="G243" s="10">
        <f ca="1">IFERROR(__xludf.DUMMYFUNCTION("""COMPUTED_VALUE"""),134)</f>
        <v>134</v>
      </c>
      <c r="H243" s="10">
        <f ca="1">IFERROR(__xludf.DUMMYFUNCTION("""COMPUTED_VALUE"""),122)</f>
        <v>122</v>
      </c>
    </row>
    <row r="244" spans="1:8">
      <c r="A244" s="9">
        <f ca="1">IFERROR(__xludf.DUMMYFUNCTION("""COMPUTED_VALUE"""),80011)</f>
        <v>80011</v>
      </c>
      <c r="B244" s="10" t="str">
        <f ca="1">IFERROR(__xludf.DUMMYFUNCTION("""COMPUTED_VALUE"""),"Aviendha Griffin")</f>
        <v>Aviendha Griffin</v>
      </c>
      <c r="C244" s="10" t="str">
        <f ca="1">IFERROR(__xludf.DUMMYFUNCTION("""COMPUTED_VALUE"""),"Kealing Middle School")</f>
        <v>Kealing Middle School</v>
      </c>
      <c r="D244" s="10" t="str">
        <f ca="1">IFERROR(__xludf.DUMMYFUNCTION("""COMPUTED_VALUE"""),"MS")</f>
        <v>MS</v>
      </c>
      <c r="E244" s="10">
        <f ca="1">IFERROR(__xludf.DUMMYFUNCTION("""COMPUTED_VALUE"""),199)</f>
        <v>199</v>
      </c>
      <c r="F244" s="10">
        <f ca="1">IFERROR(__xludf.DUMMYFUNCTION("""COMPUTED_VALUE"""),3)</f>
        <v>3</v>
      </c>
      <c r="G244" s="10">
        <f ca="1">IFERROR(__xludf.DUMMYFUNCTION("""COMPUTED_VALUE"""),114)</f>
        <v>114</v>
      </c>
      <c r="H244" s="10">
        <f ca="1">IFERROR(__xludf.DUMMYFUNCTION("""COMPUTED_VALUE"""),85)</f>
        <v>85</v>
      </c>
    </row>
    <row r="245" spans="1:8">
      <c r="A245" s="9">
        <f ca="1">IFERROR(__xludf.DUMMYFUNCTION("""COMPUTED_VALUE"""),80012)</f>
        <v>80012</v>
      </c>
      <c r="B245" s="10" t="str">
        <f ca="1">IFERROR(__xludf.DUMMYFUNCTION("""COMPUTED_VALUE"""),"Barrett Walker")</f>
        <v>Barrett Walker</v>
      </c>
      <c r="C245" s="10" t="str">
        <f ca="1">IFERROR(__xludf.DUMMYFUNCTION("""COMPUTED_VALUE"""),"Kealing Middle School")</f>
        <v>Kealing Middle School</v>
      </c>
      <c r="D245" s="10" t="str">
        <f ca="1">IFERROR(__xludf.DUMMYFUNCTION("""COMPUTED_VALUE"""),"MS")</f>
        <v>MS</v>
      </c>
      <c r="E245" s="10">
        <f ca="1">IFERROR(__xludf.DUMMYFUNCTION("""COMPUTED_VALUE"""),252)</f>
        <v>252</v>
      </c>
      <c r="F245" s="10">
        <f ca="1">IFERROR(__xludf.DUMMYFUNCTION("""COMPUTED_VALUE"""),10)</f>
        <v>10</v>
      </c>
      <c r="G245" s="10">
        <f ca="1">IFERROR(__xludf.DUMMYFUNCTION("""COMPUTED_VALUE"""),138)</f>
        <v>138</v>
      </c>
      <c r="H245" s="10">
        <f ca="1">IFERROR(__xludf.DUMMYFUNCTION("""COMPUTED_VALUE"""),114)</f>
        <v>114</v>
      </c>
    </row>
    <row r="246" spans="1:8">
      <c r="A246" s="9">
        <f ca="1">IFERROR(__xludf.DUMMYFUNCTION("""COMPUTED_VALUE"""),80013)</f>
        <v>80013</v>
      </c>
      <c r="B246" s="10" t="str">
        <f ca="1">IFERROR(__xludf.DUMMYFUNCTION("""COMPUTED_VALUE"""),"Cailan Block")</f>
        <v>Cailan Block</v>
      </c>
      <c r="C246" s="10" t="str">
        <f ca="1">IFERROR(__xludf.DUMMYFUNCTION("""COMPUTED_VALUE"""),"Kealing Middle School")</f>
        <v>Kealing Middle School</v>
      </c>
      <c r="D246" s="10" t="str">
        <f ca="1">IFERROR(__xludf.DUMMYFUNCTION("""COMPUTED_VALUE"""),"MS")</f>
        <v>MS</v>
      </c>
      <c r="E246" s="10">
        <f ca="1">IFERROR(__xludf.DUMMYFUNCTION("""COMPUTED_VALUE"""),217)</f>
        <v>217</v>
      </c>
      <c r="F246" s="10">
        <f ca="1">IFERROR(__xludf.DUMMYFUNCTION("""COMPUTED_VALUE"""),1)</f>
        <v>1</v>
      </c>
      <c r="G246" s="10">
        <f ca="1">IFERROR(__xludf.DUMMYFUNCTION("""COMPUTED_VALUE"""),112)</f>
        <v>112</v>
      </c>
      <c r="H246" s="10">
        <f ca="1">IFERROR(__xludf.DUMMYFUNCTION("""COMPUTED_VALUE"""),105)</f>
        <v>105</v>
      </c>
    </row>
    <row r="247" spans="1:8">
      <c r="A247" s="9">
        <f ca="1">IFERROR(__xludf.DUMMYFUNCTION("""COMPUTED_VALUE"""),80014)</f>
        <v>80014</v>
      </c>
      <c r="B247" s="10" t="str">
        <f ca="1">IFERROR(__xludf.DUMMYFUNCTION("""COMPUTED_VALUE"""),"Charlie Mengoli")</f>
        <v>Charlie Mengoli</v>
      </c>
      <c r="C247" s="10" t="str">
        <f ca="1">IFERROR(__xludf.DUMMYFUNCTION("""COMPUTED_VALUE"""),"Kealing Middle School")</f>
        <v>Kealing Middle School</v>
      </c>
      <c r="D247" s="10" t="str">
        <f ca="1">IFERROR(__xludf.DUMMYFUNCTION("""COMPUTED_VALUE"""),"MS")</f>
        <v>MS</v>
      </c>
      <c r="E247" s="10" t="str">
        <f ca="1">IFERROR(__xludf.DUMMYFUNCTION("""COMPUTED_VALUE"""),"Posting")</f>
        <v>Posting</v>
      </c>
      <c r="F247" s="10" t="str">
        <f ca="1">IFERROR(__xludf.DUMMYFUNCTION("""COMPUTED_VALUE"""),"Posting")</f>
        <v>Posting</v>
      </c>
      <c r="G247" s="10" t="str">
        <f ca="1">IFERROR(__xludf.DUMMYFUNCTION("""COMPUTED_VALUE"""),"Posting")</f>
        <v>Posting</v>
      </c>
      <c r="H247" s="10" t="str">
        <f ca="1">IFERROR(__xludf.DUMMYFUNCTION("""COMPUTED_VALUE"""),"Posting")</f>
        <v>Posting</v>
      </c>
    </row>
    <row r="248" spans="1:8">
      <c r="A248" s="9">
        <f ca="1">IFERROR(__xludf.DUMMYFUNCTION("""COMPUTED_VALUE"""),80015)</f>
        <v>80015</v>
      </c>
      <c r="B248" s="10" t="str">
        <f ca="1">IFERROR(__xludf.DUMMYFUNCTION("""COMPUTED_VALUE"""),"Cole Noellert")</f>
        <v>Cole Noellert</v>
      </c>
      <c r="C248" s="10" t="str">
        <f ca="1">IFERROR(__xludf.DUMMYFUNCTION("""COMPUTED_VALUE"""),"Kealing Middle School")</f>
        <v>Kealing Middle School</v>
      </c>
      <c r="D248" s="10" t="str">
        <f ca="1">IFERROR(__xludf.DUMMYFUNCTION("""COMPUTED_VALUE"""),"MS")</f>
        <v>MS</v>
      </c>
      <c r="E248" s="10">
        <f ca="1">IFERROR(__xludf.DUMMYFUNCTION("""COMPUTED_VALUE"""),240)</f>
        <v>240</v>
      </c>
      <c r="F248" s="10">
        <f ca="1">IFERROR(__xludf.DUMMYFUNCTION("""COMPUTED_VALUE"""),5)</f>
        <v>5</v>
      </c>
      <c r="G248" s="10">
        <f ca="1">IFERROR(__xludf.DUMMYFUNCTION("""COMPUTED_VALUE"""),134)</f>
        <v>134</v>
      </c>
      <c r="H248" s="10">
        <f ca="1">IFERROR(__xludf.DUMMYFUNCTION("""COMPUTED_VALUE"""),106)</f>
        <v>106</v>
      </c>
    </row>
    <row r="249" spans="1:8">
      <c r="A249" s="9">
        <f ca="1">IFERROR(__xludf.DUMMYFUNCTION("""COMPUTED_VALUE"""),80016)</f>
        <v>80016</v>
      </c>
      <c r="B249" s="10" t="str">
        <f ca="1">IFERROR(__xludf.DUMMYFUNCTION("""COMPUTED_VALUE"""),"Conner Gresham")</f>
        <v>Conner Gresham</v>
      </c>
      <c r="C249" s="10" t="str">
        <f ca="1">IFERROR(__xludf.DUMMYFUNCTION("""COMPUTED_VALUE"""),"Kealing Middle School")</f>
        <v>Kealing Middle School</v>
      </c>
      <c r="D249" s="10" t="str">
        <f ca="1">IFERROR(__xludf.DUMMYFUNCTION("""COMPUTED_VALUE"""),"MS")</f>
        <v>MS</v>
      </c>
      <c r="E249" s="10">
        <f ca="1">IFERROR(__xludf.DUMMYFUNCTION("""COMPUTED_VALUE"""),241)</f>
        <v>241</v>
      </c>
      <c r="F249" s="10">
        <f ca="1">IFERROR(__xludf.DUMMYFUNCTION("""COMPUTED_VALUE"""),3)</f>
        <v>3</v>
      </c>
      <c r="G249" s="10">
        <f ca="1">IFERROR(__xludf.DUMMYFUNCTION("""COMPUTED_VALUE"""),131)</f>
        <v>131</v>
      </c>
      <c r="H249" s="10">
        <f ca="1">IFERROR(__xludf.DUMMYFUNCTION("""COMPUTED_VALUE"""),110)</f>
        <v>110</v>
      </c>
    </row>
    <row r="250" spans="1:8">
      <c r="A250" s="9">
        <f ca="1">IFERROR(__xludf.DUMMYFUNCTION("""COMPUTED_VALUE"""),80017)</f>
        <v>80017</v>
      </c>
      <c r="B250" s="10" t="str">
        <f ca="1">IFERROR(__xludf.DUMMYFUNCTION("""COMPUTED_VALUE"""),"Cora Groves")</f>
        <v>Cora Groves</v>
      </c>
      <c r="C250" s="10" t="str">
        <f ca="1">IFERROR(__xludf.DUMMYFUNCTION("""COMPUTED_VALUE"""),"Kealing Middle School")</f>
        <v>Kealing Middle School</v>
      </c>
      <c r="D250" s="10" t="str">
        <f ca="1">IFERROR(__xludf.DUMMYFUNCTION("""COMPUTED_VALUE"""),"MS")</f>
        <v>MS</v>
      </c>
      <c r="E250" s="10">
        <f ca="1">IFERROR(__xludf.DUMMYFUNCTION("""COMPUTED_VALUE"""),223)</f>
        <v>223</v>
      </c>
      <c r="F250" s="10">
        <f ca="1">IFERROR(__xludf.DUMMYFUNCTION("""COMPUTED_VALUE"""),1)</f>
        <v>1</v>
      </c>
      <c r="G250" s="10">
        <f ca="1">IFERROR(__xludf.DUMMYFUNCTION("""COMPUTED_VALUE"""),121)</f>
        <v>121</v>
      </c>
      <c r="H250" s="10">
        <f ca="1">IFERROR(__xludf.DUMMYFUNCTION("""COMPUTED_VALUE"""),102)</f>
        <v>102</v>
      </c>
    </row>
    <row r="251" spans="1:8">
      <c r="A251" s="9">
        <f ca="1">IFERROR(__xludf.DUMMYFUNCTION("""COMPUTED_VALUE"""),80018)</f>
        <v>80018</v>
      </c>
      <c r="B251" s="10" t="str">
        <f ca="1">IFERROR(__xludf.DUMMYFUNCTION("""COMPUTED_VALUE"""),"Devin Peterson")</f>
        <v>Devin Peterson</v>
      </c>
      <c r="C251" s="10" t="str">
        <f ca="1">IFERROR(__xludf.DUMMYFUNCTION("""COMPUTED_VALUE"""),"Kealing Middle School")</f>
        <v>Kealing Middle School</v>
      </c>
      <c r="D251" s="10" t="str">
        <f ca="1">IFERROR(__xludf.DUMMYFUNCTION("""COMPUTED_VALUE"""),"MS")</f>
        <v>MS</v>
      </c>
      <c r="E251" s="10">
        <f ca="1">IFERROR(__xludf.DUMMYFUNCTION("""COMPUTED_VALUE"""),266)</f>
        <v>266</v>
      </c>
      <c r="F251" s="10">
        <f ca="1">IFERROR(__xludf.DUMMYFUNCTION("""COMPUTED_VALUE"""),10)</f>
        <v>10</v>
      </c>
      <c r="G251" s="10">
        <f ca="1">IFERROR(__xludf.DUMMYFUNCTION("""COMPUTED_VALUE"""),139)</f>
        <v>139</v>
      </c>
      <c r="H251" s="10">
        <f ca="1">IFERROR(__xludf.DUMMYFUNCTION("""COMPUTED_VALUE"""),127)</f>
        <v>127</v>
      </c>
    </row>
    <row r="252" spans="1:8">
      <c r="A252" s="9">
        <f ca="1">IFERROR(__xludf.DUMMYFUNCTION("""COMPUTED_VALUE"""),80019)</f>
        <v>80019</v>
      </c>
      <c r="B252" s="10" t="str">
        <f ca="1">IFERROR(__xludf.DUMMYFUNCTION("""COMPUTED_VALUE"""),"Dhruv Varanasi")</f>
        <v>Dhruv Varanasi</v>
      </c>
      <c r="C252" s="10" t="str">
        <f ca="1">IFERROR(__xludf.DUMMYFUNCTION("""COMPUTED_VALUE"""),"Kealing Middle School")</f>
        <v>Kealing Middle School</v>
      </c>
      <c r="D252" s="10" t="str">
        <f ca="1">IFERROR(__xludf.DUMMYFUNCTION("""COMPUTED_VALUE"""),"MS")</f>
        <v>MS</v>
      </c>
      <c r="E252" s="10">
        <f ca="1">IFERROR(__xludf.DUMMYFUNCTION("""COMPUTED_VALUE"""),220)</f>
        <v>220</v>
      </c>
      <c r="F252" s="10">
        <f ca="1">IFERROR(__xludf.DUMMYFUNCTION("""COMPUTED_VALUE"""),4)</f>
        <v>4</v>
      </c>
      <c r="G252" s="10">
        <f ca="1">IFERROR(__xludf.DUMMYFUNCTION("""COMPUTED_VALUE"""),116)</f>
        <v>116</v>
      </c>
      <c r="H252" s="10">
        <f ca="1">IFERROR(__xludf.DUMMYFUNCTION("""COMPUTED_VALUE"""),104)</f>
        <v>104</v>
      </c>
    </row>
    <row r="253" spans="1:8">
      <c r="A253" s="9">
        <f ca="1">IFERROR(__xludf.DUMMYFUNCTION("""COMPUTED_VALUE"""),80020)</f>
        <v>80020</v>
      </c>
      <c r="B253" s="10" t="str">
        <f ca="1">IFERROR(__xludf.DUMMYFUNCTION("""COMPUTED_VALUE"""),"Easton Cannon")</f>
        <v>Easton Cannon</v>
      </c>
      <c r="C253" s="10" t="str">
        <f ca="1">IFERROR(__xludf.DUMMYFUNCTION("""COMPUTED_VALUE"""),"Kealing Middle School")</f>
        <v>Kealing Middle School</v>
      </c>
      <c r="D253" s="10" t="str">
        <f ca="1">IFERROR(__xludf.DUMMYFUNCTION("""COMPUTED_VALUE"""),"MS")</f>
        <v>MS</v>
      </c>
      <c r="E253" s="10">
        <f ca="1">IFERROR(__xludf.DUMMYFUNCTION("""COMPUTED_VALUE"""),223)</f>
        <v>223</v>
      </c>
      <c r="F253" s="10">
        <f ca="1">IFERROR(__xludf.DUMMYFUNCTION("""COMPUTED_VALUE"""),1)</f>
        <v>1</v>
      </c>
      <c r="G253" s="10">
        <f ca="1">IFERROR(__xludf.DUMMYFUNCTION("""COMPUTED_VALUE"""),123)</f>
        <v>123</v>
      </c>
      <c r="H253" s="10">
        <f ca="1">IFERROR(__xludf.DUMMYFUNCTION("""COMPUTED_VALUE"""),100)</f>
        <v>100</v>
      </c>
    </row>
    <row r="254" spans="1:8">
      <c r="A254" s="9">
        <f ca="1">IFERROR(__xludf.DUMMYFUNCTION("""COMPUTED_VALUE"""),80021)</f>
        <v>80021</v>
      </c>
      <c r="B254" s="10" t="str">
        <f ca="1">IFERROR(__xludf.DUMMYFUNCTION("""COMPUTED_VALUE"""),"Eleanor Roberts")</f>
        <v>Eleanor Roberts</v>
      </c>
      <c r="C254" s="10" t="str">
        <f ca="1">IFERROR(__xludf.DUMMYFUNCTION("""COMPUTED_VALUE"""),"Kealing Middle School")</f>
        <v>Kealing Middle School</v>
      </c>
      <c r="D254" s="10" t="str">
        <f ca="1">IFERROR(__xludf.DUMMYFUNCTION("""COMPUTED_VALUE"""),"MS")</f>
        <v>MS</v>
      </c>
      <c r="E254" s="10">
        <f ca="1">IFERROR(__xludf.DUMMYFUNCTION("""COMPUTED_VALUE"""),228)</f>
        <v>228</v>
      </c>
      <c r="F254" s="10">
        <f ca="1">IFERROR(__xludf.DUMMYFUNCTION("""COMPUTED_VALUE"""),3)</f>
        <v>3</v>
      </c>
      <c r="G254" s="10">
        <f ca="1">IFERROR(__xludf.DUMMYFUNCTION("""COMPUTED_VALUE"""),125)</f>
        <v>125</v>
      </c>
      <c r="H254" s="10">
        <f ca="1">IFERROR(__xludf.DUMMYFUNCTION("""COMPUTED_VALUE"""),103)</f>
        <v>103</v>
      </c>
    </row>
    <row r="255" spans="1:8">
      <c r="A255" s="9">
        <f ca="1">IFERROR(__xludf.DUMMYFUNCTION("""COMPUTED_VALUE"""),80022)</f>
        <v>80022</v>
      </c>
      <c r="B255" s="10" t="str">
        <f ca="1">IFERROR(__xludf.DUMMYFUNCTION("""COMPUTED_VALUE"""),"Eli Gray")</f>
        <v>Eli Gray</v>
      </c>
      <c r="C255" s="10" t="str">
        <f ca="1">IFERROR(__xludf.DUMMYFUNCTION("""COMPUTED_VALUE"""),"Kealing Middle School")</f>
        <v>Kealing Middle School</v>
      </c>
      <c r="D255" s="10" t="str">
        <f ca="1">IFERROR(__xludf.DUMMYFUNCTION("""COMPUTED_VALUE"""),"MS")</f>
        <v>MS</v>
      </c>
      <c r="E255" s="10">
        <f ca="1">IFERROR(__xludf.DUMMYFUNCTION("""COMPUTED_VALUE"""),264)</f>
        <v>264</v>
      </c>
      <c r="F255" s="10">
        <f ca="1">IFERROR(__xludf.DUMMYFUNCTION("""COMPUTED_VALUE"""),7)</f>
        <v>7</v>
      </c>
      <c r="G255" s="10">
        <f ca="1">IFERROR(__xludf.DUMMYFUNCTION("""COMPUTED_VALUE"""),134)</f>
        <v>134</v>
      </c>
      <c r="H255" s="10">
        <f ca="1">IFERROR(__xludf.DUMMYFUNCTION("""COMPUTED_VALUE"""),130)</f>
        <v>130</v>
      </c>
    </row>
    <row r="256" spans="1:8">
      <c r="A256" s="9">
        <f ca="1">IFERROR(__xludf.DUMMYFUNCTION("""COMPUTED_VALUE"""),80023)</f>
        <v>80023</v>
      </c>
      <c r="B256" s="10" t="str">
        <f ca="1">IFERROR(__xludf.DUMMYFUNCTION("""COMPUTED_VALUE"""),"Ainsleigh Andrews")</f>
        <v>Ainsleigh Andrews</v>
      </c>
      <c r="C256" s="10" t="str">
        <f ca="1">IFERROR(__xludf.DUMMYFUNCTION("""COMPUTED_VALUE"""),"Kealing Middle School")</f>
        <v>Kealing Middle School</v>
      </c>
      <c r="D256" s="10" t="str">
        <f ca="1">IFERROR(__xludf.DUMMYFUNCTION("""COMPUTED_VALUE"""),"MS")</f>
        <v>MS</v>
      </c>
      <c r="E256" s="10">
        <f ca="1">IFERROR(__xludf.DUMMYFUNCTION("""COMPUTED_VALUE"""),262)</f>
        <v>262</v>
      </c>
      <c r="F256" s="10">
        <f ca="1">IFERROR(__xludf.DUMMYFUNCTION("""COMPUTED_VALUE"""),7)</f>
        <v>7</v>
      </c>
      <c r="G256" s="10">
        <f ca="1">IFERROR(__xludf.DUMMYFUNCTION("""COMPUTED_VALUE"""),134)</f>
        <v>134</v>
      </c>
      <c r="H256" s="10">
        <f ca="1">IFERROR(__xludf.DUMMYFUNCTION("""COMPUTED_VALUE"""),128)</f>
        <v>128</v>
      </c>
    </row>
    <row r="257" spans="1:8">
      <c r="A257" s="9">
        <f ca="1">IFERROR(__xludf.DUMMYFUNCTION("""COMPUTED_VALUE"""),80024)</f>
        <v>80024</v>
      </c>
      <c r="B257" s="10" t="str">
        <f ca="1">IFERROR(__xludf.DUMMYFUNCTION("""COMPUTED_VALUE"""),"Ellen Pehl")</f>
        <v>Ellen Pehl</v>
      </c>
      <c r="C257" s="10" t="str">
        <f ca="1">IFERROR(__xludf.DUMMYFUNCTION("""COMPUTED_VALUE"""),"Kealing Middle School")</f>
        <v>Kealing Middle School</v>
      </c>
      <c r="D257" s="10" t="str">
        <f ca="1">IFERROR(__xludf.DUMMYFUNCTION("""COMPUTED_VALUE"""),"MS")</f>
        <v>MS</v>
      </c>
      <c r="E257" s="10">
        <f ca="1">IFERROR(__xludf.DUMMYFUNCTION("""COMPUTED_VALUE"""),208)</f>
        <v>208</v>
      </c>
      <c r="F257" s="10">
        <f ca="1">IFERROR(__xludf.DUMMYFUNCTION("""COMPUTED_VALUE"""),1)</f>
        <v>1</v>
      </c>
      <c r="G257" s="10">
        <f ca="1">IFERROR(__xludf.DUMMYFUNCTION("""COMPUTED_VALUE"""),120)</f>
        <v>120</v>
      </c>
      <c r="H257" s="10">
        <f ca="1">IFERROR(__xludf.DUMMYFUNCTION("""COMPUTED_VALUE"""),88)</f>
        <v>88</v>
      </c>
    </row>
    <row r="258" spans="1:8">
      <c r="A258" s="9">
        <f ca="1">IFERROR(__xludf.DUMMYFUNCTION("""COMPUTED_VALUE"""),80025)</f>
        <v>80025</v>
      </c>
      <c r="B258" s="10" t="str">
        <f ca="1">IFERROR(__xludf.DUMMYFUNCTION("""COMPUTED_VALUE"""),"Emerson Kestner")</f>
        <v>Emerson Kestner</v>
      </c>
      <c r="C258" s="10" t="str">
        <f ca="1">IFERROR(__xludf.DUMMYFUNCTION("""COMPUTED_VALUE"""),"Kealing Middle School")</f>
        <v>Kealing Middle School</v>
      </c>
      <c r="D258" s="10" t="str">
        <f ca="1">IFERROR(__xludf.DUMMYFUNCTION("""COMPUTED_VALUE"""),"MS")</f>
        <v>MS</v>
      </c>
      <c r="E258" s="10">
        <f ca="1">IFERROR(__xludf.DUMMYFUNCTION("""COMPUTED_VALUE"""),276)</f>
        <v>276</v>
      </c>
      <c r="F258" s="10">
        <f ca="1">IFERROR(__xludf.DUMMYFUNCTION("""COMPUTED_VALUE"""),15)</f>
        <v>15</v>
      </c>
      <c r="G258" s="10">
        <f ca="1">IFERROR(__xludf.DUMMYFUNCTION("""COMPUTED_VALUE"""),141)</f>
        <v>141</v>
      </c>
      <c r="H258" s="10">
        <f ca="1">IFERROR(__xludf.DUMMYFUNCTION("""COMPUTED_VALUE"""),135)</f>
        <v>135</v>
      </c>
    </row>
    <row r="259" spans="1:8">
      <c r="A259" s="9">
        <f ca="1">IFERROR(__xludf.DUMMYFUNCTION("""COMPUTED_VALUE"""),80026)</f>
        <v>80026</v>
      </c>
      <c r="B259" s="10" t="str">
        <f ca="1">IFERROR(__xludf.DUMMYFUNCTION("""COMPUTED_VALUE"""),"Emily Holton")</f>
        <v>Emily Holton</v>
      </c>
      <c r="C259" s="10" t="str">
        <f ca="1">IFERROR(__xludf.DUMMYFUNCTION("""COMPUTED_VALUE"""),"Kealing Middle School")</f>
        <v>Kealing Middle School</v>
      </c>
      <c r="D259" s="10" t="str">
        <f ca="1">IFERROR(__xludf.DUMMYFUNCTION("""COMPUTED_VALUE"""),"MS")</f>
        <v>MS</v>
      </c>
      <c r="E259" s="10" t="str">
        <f ca="1">IFERROR(__xludf.DUMMYFUNCTION("""COMPUTED_VALUE"""),"Posting")</f>
        <v>Posting</v>
      </c>
      <c r="F259" s="10" t="str">
        <f ca="1">IFERROR(__xludf.DUMMYFUNCTION("""COMPUTED_VALUE"""),"Posting")</f>
        <v>Posting</v>
      </c>
      <c r="G259" s="10" t="str">
        <f ca="1">IFERROR(__xludf.DUMMYFUNCTION("""COMPUTED_VALUE"""),"Posting")</f>
        <v>Posting</v>
      </c>
      <c r="H259" s="10" t="str">
        <f ca="1">IFERROR(__xludf.DUMMYFUNCTION("""COMPUTED_VALUE"""),"Posting")</f>
        <v>Posting</v>
      </c>
    </row>
    <row r="260" spans="1:8">
      <c r="A260" s="9">
        <f ca="1">IFERROR(__xludf.DUMMYFUNCTION("""COMPUTED_VALUE"""),80027)</f>
        <v>80027</v>
      </c>
      <c r="B260" s="10" t="str">
        <f ca="1">IFERROR(__xludf.DUMMYFUNCTION("""COMPUTED_VALUE"""),"Emmett Seales")</f>
        <v>Emmett Seales</v>
      </c>
      <c r="C260" s="10" t="str">
        <f ca="1">IFERROR(__xludf.DUMMYFUNCTION("""COMPUTED_VALUE"""),"Kealing Middle School")</f>
        <v>Kealing Middle School</v>
      </c>
      <c r="D260" s="10" t="str">
        <f ca="1">IFERROR(__xludf.DUMMYFUNCTION("""COMPUTED_VALUE"""),"MS")</f>
        <v>MS</v>
      </c>
      <c r="E260" s="10">
        <f ca="1">IFERROR(__xludf.DUMMYFUNCTION("""COMPUTED_VALUE"""),245)</f>
        <v>245</v>
      </c>
      <c r="F260" s="10">
        <f ca="1">IFERROR(__xludf.DUMMYFUNCTION("""COMPUTED_VALUE"""),9)</f>
        <v>9</v>
      </c>
      <c r="G260" s="10">
        <f ca="1">IFERROR(__xludf.DUMMYFUNCTION("""COMPUTED_VALUE"""),139)</f>
        <v>139</v>
      </c>
      <c r="H260" s="10">
        <f ca="1">IFERROR(__xludf.DUMMYFUNCTION("""COMPUTED_VALUE"""),106)</f>
        <v>106</v>
      </c>
    </row>
    <row r="261" spans="1:8">
      <c r="A261" s="9">
        <f ca="1">IFERROR(__xludf.DUMMYFUNCTION("""COMPUTED_VALUE"""),80028)</f>
        <v>80028</v>
      </c>
      <c r="B261" s="10" t="str">
        <f ca="1">IFERROR(__xludf.DUMMYFUNCTION("""COMPUTED_VALUE"""),"Gabriel Tang")</f>
        <v>Gabriel Tang</v>
      </c>
      <c r="C261" s="10" t="str">
        <f ca="1">IFERROR(__xludf.DUMMYFUNCTION("""COMPUTED_VALUE"""),"Kealing Middle School")</f>
        <v>Kealing Middle School</v>
      </c>
      <c r="D261" s="10" t="str">
        <f ca="1">IFERROR(__xludf.DUMMYFUNCTION("""COMPUTED_VALUE"""),"MS")</f>
        <v>MS</v>
      </c>
      <c r="E261" s="10">
        <f ca="1">IFERROR(__xludf.DUMMYFUNCTION("""COMPUTED_VALUE"""),239)</f>
        <v>239</v>
      </c>
      <c r="F261" s="10">
        <f ca="1">IFERROR(__xludf.DUMMYFUNCTION("""COMPUTED_VALUE"""),7)</f>
        <v>7</v>
      </c>
      <c r="G261" s="10">
        <f ca="1">IFERROR(__xludf.DUMMYFUNCTION("""COMPUTED_VALUE"""),137)</f>
        <v>137</v>
      </c>
      <c r="H261" s="10">
        <f ca="1">IFERROR(__xludf.DUMMYFUNCTION("""COMPUTED_VALUE"""),102)</f>
        <v>102</v>
      </c>
    </row>
    <row r="262" spans="1:8">
      <c r="A262" s="9">
        <f ca="1">IFERROR(__xludf.DUMMYFUNCTION("""COMPUTED_VALUE"""),80029)</f>
        <v>80029</v>
      </c>
      <c r="B262" s="10" t="str">
        <f ca="1">IFERROR(__xludf.DUMMYFUNCTION("""COMPUTED_VALUE"""),"Gavin Dobinsky")</f>
        <v>Gavin Dobinsky</v>
      </c>
      <c r="C262" s="10" t="str">
        <f ca="1">IFERROR(__xludf.DUMMYFUNCTION("""COMPUTED_VALUE"""),"Kealing Middle School")</f>
        <v>Kealing Middle School</v>
      </c>
      <c r="D262" s="10" t="str">
        <f ca="1">IFERROR(__xludf.DUMMYFUNCTION("""COMPUTED_VALUE"""),"MS")</f>
        <v>MS</v>
      </c>
      <c r="E262" s="10">
        <f ca="1">IFERROR(__xludf.DUMMYFUNCTION("""COMPUTED_VALUE"""),254)</f>
        <v>254</v>
      </c>
      <c r="F262" s="10">
        <f ca="1">IFERROR(__xludf.DUMMYFUNCTION("""COMPUTED_VALUE"""),7)</f>
        <v>7</v>
      </c>
      <c r="G262" s="10">
        <f ca="1">IFERROR(__xludf.DUMMYFUNCTION("""COMPUTED_VALUE"""),131)</f>
        <v>131</v>
      </c>
      <c r="H262" s="10">
        <f ca="1">IFERROR(__xludf.DUMMYFUNCTION("""COMPUTED_VALUE"""),123)</f>
        <v>123</v>
      </c>
    </row>
    <row r="263" spans="1:8">
      <c r="A263" s="9">
        <f ca="1">IFERROR(__xludf.DUMMYFUNCTION("""COMPUTED_VALUE"""),80030)</f>
        <v>80030</v>
      </c>
      <c r="B263" s="10" t="str">
        <f ca="1">IFERROR(__xludf.DUMMYFUNCTION("""COMPUTED_VALUE"""),"George Flesher")</f>
        <v>George Flesher</v>
      </c>
      <c r="C263" s="10" t="str">
        <f ca="1">IFERROR(__xludf.DUMMYFUNCTION("""COMPUTED_VALUE"""),"Kealing Middle School")</f>
        <v>Kealing Middle School</v>
      </c>
      <c r="D263" s="10" t="str">
        <f ca="1">IFERROR(__xludf.DUMMYFUNCTION("""COMPUTED_VALUE"""),"MS")</f>
        <v>MS</v>
      </c>
      <c r="E263" s="10">
        <f ca="1">IFERROR(__xludf.DUMMYFUNCTION("""COMPUTED_VALUE"""),244)</f>
        <v>244</v>
      </c>
      <c r="F263" s="10">
        <f ca="1">IFERROR(__xludf.DUMMYFUNCTION("""COMPUTED_VALUE"""),8)</f>
        <v>8</v>
      </c>
      <c r="G263" s="10">
        <f ca="1">IFERROR(__xludf.DUMMYFUNCTION("""COMPUTED_VALUE"""),135)</f>
        <v>135</v>
      </c>
      <c r="H263" s="10">
        <f ca="1">IFERROR(__xludf.DUMMYFUNCTION("""COMPUTED_VALUE"""),109)</f>
        <v>109</v>
      </c>
    </row>
    <row r="264" spans="1:8">
      <c r="A264" s="9">
        <f ca="1">IFERROR(__xludf.DUMMYFUNCTION("""COMPUTED_VALUE"""),80031)</f>
        <v>80031</v>
      </c>
      <c r="B264" s="10" t="str">
        <f ca="1">IFERROR(__xludf.DUMMYFUNCTION("""COMPUTED_VALUE"""),"Graham Hines")</f>
        <v>Graham Hines</v>
      </c>
      <c r="C264" s="10" t="str">
        <f ca="1">IFERROR(__xludf.DUMMYFUNCTION("""COMPUTED_VALUE"""),"Kealing Middle School")</f>
        <v>Kealing Middle School</v>
      </c>
      <c r="D264" s="10" t="str">
        <f ca="1">IFERROR(__xludf.DUMMYFUNCTION("""COMPUTED_VALUE"""),"MS")</f>
        <v>MS</v>
      </c>
      <c r="E264" s="10">
        <f ca="1">IFERROR(__xludf.DUMMYFUNCTION("""COMPUTED_VALUE"""),261)</f>
        <v>261</v>
      </c>
      <c r="F264" s="10">
        <f ca="1">IFERROR(__xludf.DUMMYFUNCTION("""COMPUTED_VALUE"""),6)</f>
        <v>6</v>
      </c>
      <c r="G264" s="10">
        <f ca="1">IFERROR(__xludf.DUMMYFUNCTION("""COMPUTED_VALUE"""),135)</f>
        <v>135</v>
      </c>
      <c r="H264" s="10">
        <f ca="1">IFERROR(__xludf.DUMMYFUNCTION("""COMPUTED_VALUE"""),126)</f>
        <v>126</v>
      </c>
    </row>
    <row r="265" spans="1:8">
      <c r="A265" s="9">
        <f ca="1">IFERROR(__xludf.DUMMYFUNCTION("""COMPUTED_VALUE"""),80032)</f>
        <v>80032</v>
      </c>
      <c r="B265" s="10" t="str">
        <f ca="1">IFERROR(__xludf.DUMMYFUNCTION("""COMPUTED_VALUE"""),"Hadley Ahern")</f>
        <v>Hadley Ahern</v>
      </c>
      <c r="C265" s="10" t="str">
        <f ca="1">IFERROR(__xludf.DUMMYFUNCTION("""COMPUTED_VALUE"""),"Kealing Middle School")</f>
        <v>Kealing Middle School</v>
      </c>
      <c r="D265" s="10" t="str">
        <f ca="1">IFERROR(__xludf.DUMMYFUNCTION("""COMPUTED_VALUE"""),"MS")</f>
        <v>MS</v>
      </c>
      <c r="E265" s="10">
        <f ca="1">IFERROR(__xludf.DUMMYFUNCTION("""COMPUTED_VALUE"""),216)</f>
        <v>216</v>
      </c>
      <c r="F265" s="10">
        <f ca="1">IFERROR(__xludf.DUMMYFUNCTION("""COMPUTED_VALUE"""),3)</f>
        <v>3</v>
      </c>
      <c r="G265" s="10">
        <f ca="1">IFERROR(__xludf.DUMMYFUNCTION("""COMPUTED_VALUE"""),114)</f>
        <v>114</v>
      </c>
      <c r="H265" s="10">
        <f ca="1">IFERROR(__xludf.DUMMYFUNCTION("""COMPUTED_VALUE"""),102)</f>
        <v>102</v>
      </c>
    </row>
    <row r="266" spans="1:8">
      <c r="A266" s="9">
        <f ca="1">IFERROR(__xludf.DUMMYFUNCTION("""COMPUTED_VALUE"""),80033)</f>
        <v>80033</v>
      </c>
      <c r="B266" s="10" t="str">
        <f ca="1">IFERROR(__xludf.DUMMYFUNCTION("""COMPUTED_VALUE"""),"Ike Ziegler")</f>
        <v>Ike Ziegler</v>
      </c>
      <c r="C266" s="10" t="str">
        <f ca="1">IFERROR(__xludf.DUMMYFUNCTION("""COMPUTED_VALUE"""),"Kealing Middle School")</f>
        <v>Kealing Middle School</v>
      </c>
      <c r="D266" s="10" t="str">
        <f ca="1">IFERROR(__xludf.DUMMYFUNCTION("""COMPUTED_VALUE"""),"MS")</f>
        <v>MS</v>
      </c>
      <c r="E266" s="10">
        <f ca="1">IFERROR(__xludf.DUMMYFUNCTION("""COMPUTED_VALUE"""),242)</f>
        <v>242</v>
      </c>
      <c r="F266" s="10">
        <f ca="1">IFERROR(__xludf.DUMMYFUNCTION("""COMPUTED_VALUE"""),6)</f>
        <v>6</v>
      </c>
      <c r="G266" s="10">
        <f ca="1">IFERROR(__xludf.DUMMYFUNCTION("""COMPUTED_VALUE"""),135)</f>
        <v>135</v>
      </c>
      <c r="H266" s="10">
        <f ca="1">IFERROR(__xludf.DUMMYFUNCTION("""COMPUTED_VALUE"""),107)</f>
        <v>107</v>
      </c>
    </row>
    <row r="267" spans="1:8">
      <c r="A267" s="9">
        <f ca="1">IFERROR(__xludf.DUMMYFUNCTION("""COMPUTED_VALUE"""),80034)</f>
        <v>80034</v>
      </c>
      <c r="B267" s="10" t="str">
        <f ca="1">IFERROR(__xludf.DUMMYFUNCTION("""COMPUTED_VALUE"""),"Jack Simpson")</f>
        <v>Jack Simpson</v>
      </c>
      <c r="C267" s="10" t="str">
        <f ca="1">IFERROR(__xludf.DUMMYFUNCTION("""COMPUTED_VALUE"""),"Kealing Middle School")</f>
        <v>Kealing Middle School</v>
      </c>
      <c r="D267" s="10" t="str">
        <f ca="1">IFERROR(__xludf.DUMMYFUNCTION("""COMPUTED_VALUE"""),"MS")</f>
        <v>MS</v>
      </c>
      <c r="E267" s="10">
        <f ca="1">IFERROR(__xludf.DUMMYFUNCTION("""COMPUTED_VALUE"""),275)</f>
        <v>275</v>
      </c>
      <c r="F267" s="10">
        <f ca="1">IFERROR(__xludf.DUMMYFUNCTION("""COMPUTED_VALUE"""),13)</f>
        <v>13</v>
      </c>
      <c r="G267" s="10">
        <f ca="1">IFERROR(__xludf.DUMMYFUNCTION("""COMPUTED_VALUE"""),141)</f>
        <v>141</v>
      </c>
      <c r="H267" s="10">
        <f ca="1">IFERROR(__xludf.DUMMYFUNCTION("""COMPUTED_VALUE"""),134)</f>
        <v>134</v>
      </c>
    </row>
    <row r="268" spans="1:8">
      <c r="A268" s="9">
        <f ca="1">IFERROR(__xludf.DUMMYFUNCTION("""COMPUTED_VALUE"""),80035)</f>
        <v>80035</v>
      </c>
      <c r="B268" s="10" t="str">
        <f ca="1">IFERROR(__xludf.DUMMYFUNCTION("""COMPUTED_VALUE"""),"James Zepeda")</f>
        <v>James Zepeda</v>
      </c>
      <c r="C268" s="10" t="str">
        <f ca="1">IFERROR(__xludf.DUMMYFUNCTION("""COMPUTED_VALUE"""),"Kealing Middle School")</f>
        <v>Kealing Middle School</v>
      </c>
      <c r="D268" s="10" t="str">
        <f ca="1">IFERROR(__xludf.DUMMYFUNCTION("""COMPUTED_VALUE"""),"MS")</f>
        <v>MS</v>
      </c>
      <c r="E268" s="10">
        <f ca="1">IFERROR(__xludf.DUMMYFUNCTION("""COMPUTED_VALUE"""),241)</f>
        <v>241</v>
      </c>
      <c r="F268" s="10">
        <f ca="1">IFERROR(__xludf.DUMMYFUNCTION("""COMPUTED_VALUE"""),7)</f>
        <v>7</v>
      </c>
      <c r="G268" s="10">
        <f ca="1">IFERROR(__xludf.DUMMYFUNCTION("""COMPUTED_VALUE"""),134)</f>
        <v>134</v>
      </c>
      <c r="H268" s="10">
        <f ca="1">IFERROR(__xludf.DUMMYFUNCTION("""COMPUTED_VALUE"""),107)</f>
        <v>107</v>
      </c>
    </row>
    <row r="269" spans="1:8">
      <c r="A269" s="9">
        <f ca="1">IFERROR(__xludf.DUMMYFUNCTION("""COMPUTED_VALUE"""),80036)</f>
        <v>80036</v>
      </c>
      <c r="B269" s="10" t="str">
        <f ca="1">IFERROR(__xludf.DUMMYFUNCTION("""COMPUTED_VALUE"""),"Jasmine Poon")</f>
        <v>Jasmine Poon</v>
      </c>
      <c r="C269" s="10" t="str">
        <f ca="1">IFERROR(__xludf.DUMMYFUNCTION("""COMPUTED_VALUE"""),"Kealing Middle School")</f>
        <v>Kealing Middle School</v>
      </c>
      <c r="D269" s="10" t="str">
        <f ca="1">IFERROR(__xludf.DUMMYFUNCTION("""COMPUTED_VALUE"""),"MS")</f>
        <v>MS</v>
      </c>
      <c r="E269" s="10">
        <f ca="1">IFERROR(__xludf.DUMMYFUNCTION("""COMPUTED_VALUE"""),242)</f>
        <v>242</v>
      </c>
      <c r="F269" s="10">
        <f ca="1">IFERROR(__xludf.DUMMYFUNCTION("""COMPUTED_VALUE"""),7)</f>
        <v>7</v>
      </c>
      <c r="G269" s="10">
        <f ca="1">IFERROR(__xludf.DUMMYFUNCTION("""COMPUTED_VALUE"""),133)</f>
        <v>133</v>
      </c>
      <c r="H269" s="10">
        <f ca="1">IFERROR(__xludf.DUMMYFUNCTION("""COMPUTED_VALUE"""),109)</f>
        <v>109</v>
      </c>
    </row>
    <row r="270" spans="1:8">
      <c r="A270" s="9">
        <f ca="1">IFERROR(__xludf.DUMMYFUNCTION("""COMPUTED_VALUE"""),80037)</f>
        <v>80037</v>
      </c>
      <c r="B270" s="10" t="str">
        <f ca="1">IFERROR(__xludf.DUMMYFUNCTION("""COMPUTED_VALUE"""),"Jessie Subido")</f>
        <v>Jessie Subido</v>
      </c>
      <c r="C270" s="10" t="str">
        <f ca="1">IFERROR(__xludf.DUMMYFUNCTION("""COMPUTED_VALUE"""),"Kealing Middle School")</f>
        <v>Kealing Middle School</v>
      </c>
      <c r="D270" s="10" t="str">
        <f ca="1">IFERROR(__xludf.DUMMYFUNCTION("""COMPUTED_VALUE"""),"MS")</f>
        <v>MS</v>
      </c>
      <c r="E270" s="10">
        <f ca="1">IFERROR(__xludf.DUMMYFUNCTION("""COMPUTED_VALUE"""),240)</f>
        <v>240</v>
      </c>
      <c r="F270" s="10">
        <f ca="1">IFERROR(__xludf.DUMMYFUNCTION("""COMPUTED_VALUE"""),3)</f>
        <v>3</v>
      </c>
      <c r="G270" s="10">
        <f ca="1">IFERROR(__xludf.DUMMYFUNCTION("""COMPUTED_VALUE"""),128)</f>
        <v>128</v>
      </c>
      <c r="H270" s="10">
        <f ca="1">IFERROR(__xludf.DUMMYFUNCTION("""COMPUTED_VALUE"""),112)</f>
        <v>112</v>
      </c>
    </row>
    <row r="271" spans="1:8">
      <c r="A271" s="9">
        <f ca="1">IFERROR(__xludf.DUMMYFUNCTION("""COMPUTED_VALUE"""),80038)</f>
        <v>80038</v>
      </c>
      <c r="B271" s="10" t="str">
        <f ca="1">IFERROR(__xludf.DUMMYFUNCTION("""COMPUTED_VALUE"""),"Joseph Salinas")</f>
        <v>Joseph Salinas</v>
      </c>
      <c r="C271" s="10" t="str">
        <f ca="1">IFERROR(__xludf.DUMMYFUNCTION("""COMPUTED_VALUE"""),"Kealing Middle School")</f>
        <v>Kealing Middle School</v>
      </c>
      <c r="D271" s="10" t="str">
        <f ca="1">IFERROR(__xludf.DUMMYFUNCTION("""COMPUTED_VALUE"""),"MS")</f>
        <v>MS</v>
      </c>
      <c r="E271" s="10">
        <f ca="1">IFERROR(__xludf.DUMMYFUNCTION("""COMPUTED_VALUE"""),241)</f>
        <v>241</v>
      </c>
      <c r="F271" s="10">
        <f ca="1">IFERROR(__xludf.DUMMYFUNCTION("""COMPUTED_VALUE"""),3)</f>
        <v>3</v>
      </c>
      <c r="G271" s="10">
        <f ca="1">IFERROR(__xludf.DUMMYFUNCTION("""COMPUTED_VALUE"""),123)</f>
        <v>123</v>
      </c>
      <c r="H271" s="10">
        <f ca="1">IFERROR(__xludf.DUMMYFUNCTION("""COMPUTED_VALUE"""),118)</f>
        <v>118</v>
      </c>
    </row>
    <row r="272" spans="1:8">
      <c r="A272" s="9">
        <f ca="1">IFERROR(__xludf.DUMMYFUNCTION("""COMPUTED_VALUE"""),80039)</f>
        <v>80039</v>
      </c>
      <c r="B272" s="10" t="str">
        <f ca="1">IFERROR(__xludf.DUMMYFUNCTION("""COMPUTED_VALUE"""),"Juliana Saenz")</f>
        <v>Juliana Saenz</v>
      </c>
      <c r="C272" s="10" t="str">
        <f ca="1">IFERROR(__xludf.DUMMYFUNCTION("""COMPUTED_VALUE"""),"Kealing Middle School")</f>
        <v>Kealing Middle School</v>
      </c>
      <c r="D272" s="10" t="str">
        <f ca="1">IFERROR(__xludf.DUMMYFUNCTION("""COMPUTED_VALUE"""),"MS")</f>
        <v>MS</v>
      </c>
      <c r="E272" s="10" t="str">
        <f ca="1">IFERROR(__xludf.DUMMYFUNCTION("""COMPUTED_VALUE"""),"Posting")</f>
        <v>Posting</v>
      </c>
      <c r="F272" s="10" t="str">
        <f ca="1">IFERROR(__xludf.DUMMYFUNCTION("""COMPUTED_VALUE"""),"Posting")</f>
        <v>Posting</v>
      </c>
      <c r="G272" s="10" t="str">
        <f ca="1">IFERROR(__xludf.DUMMYFUNCTION("""COMPUTED_VALUE"""),"Posting")</f>
        <v>Posting</v>
      </c>
      <c r="H272" s="10" t="str">
        <f ca="1">IFERROR(__xludf.DUMMYFUNCTION("""COMPUTED_VALUE"""),"Posting")</f>
        <v>Posting</v>
      </c>
    </row>
    <row r="273" spans="1:8">
      <c r="A273" s="9">
        <f ca="1">IFERROR(__xludf.DUMMYFUNCTION("""COMPUTED_VALUE"""),80041)</f>
        <v>80041</v>
      </c>
      <c r="B273" s="10" t="str">
        <f ca="1">IFERROR(__xludf.DUMMYFUNCTION("""COMPUTED_VALUE"""),"Katherine Lee")</f>
        <v>Katherine Lee</v>
      </c>
      <c r="C273" s="10" t="str">
        <f ca="1">IFERROR(__xludf.DUMMYFUNCTION("""COMPUTED_VALUE"""),"Kealing Middle School")</f>
        <v>Kealing Middle School</v>
      </c>
      <c r="D273" s="10" t="str">
        <f ca="1">IFERROR(__xludf.DUMMYFUNCTION("""COMPUTED_VALUE"""),"MS")</f>
        <v>MS</v>
      </c>
      <c r="E273" s="10">
        <f ca="1">IFERROR(__xludf.DUMMYFUNCTION("""COMPUTED_VALUE"""),261)</f>
        <v>261</v>
      </c>
      <c r="F273" s="10">
        <f ca="1">IFERROR(__xludf.DUMMYFUNCTION("""COMPUTED_VALUE"""),8)</f>
        <v>8</v>
      </c>
      <c r="G273" s="10">
        <f ca="1">IFERROR(__xludf.DUMMYFUNCTION("""COMPUTED_VALUE"""),135)</f>
        <v>135</v>
      </c>
      <c r="H273" s="10">
        <f ca="1">IFERROR(__xludf.DUMMYFUNCTION("""COMPUTED_VALUE"""),126)</f>
        <v>126</v>
      </c>
    </row>
    <row r="274" spans="1:8">
      <c r="A274" s="9">
        <f ca="1">IFERROR(__xludf.DUMMYFUNCTION("""COMPUTED_VALUE"""),80042)</f>
        <v>80042</v>
      </c>
      <c r="B274" s="10" t="str">
        <f ca="1">IFERROR(__xludf.DUMMYFUNCTION("""COMPUTED_VALUE"""),"Lance Daniel Ramos")</f>
        <v>Lance Daniel Ramos</v>
      </c>
      <c r="C274" s="10" t="str">
        <f ca="1">IFERROR(__xludf.DUMMYFUNCTION("""COMPUTED_VALUE"""),"Kealing Middle School")</f>
        <v>Kealing Middle School</v>
      </c>
      <c r="D274" s="10" t="str">
        <f ca="1">IFERROR(__xludf.DUMMYFUNCTION("""COMPUTED_VALUE"""),"MS")</f>
        <v>MS</v>
      </c>
      <c r="E274" s="10">
        <f ca="1">IFERROR(__xludf.DUMMYFUNCTION("""COMPUTED_VALUE"""),244)</f>
        <v>244</v>
      </c>
      <c r="F274" s="10">
        <f ca="1">IFERROR(__xludf.DUMMYFUNCTION("""COMPUTED_VALUE"""),0)</f>
        <v>0</v>
      </c>
      <c r="G274" s="10">
        <f ca="1">IFERROR(__xludf.DUMMYFUNCTION("""COMPUTED_VALUE"""),129)</f>
        <v>129</v>
      </c>
      <c r="H274" s="10">
        <f ca="1">IFERROR(__xludf.DUMMYFUNCTION("""COMPUTED_VALUE"""),115)</f>
        <v>115</v>
      </c>
    </row>
    <row r="275" spans="1:8">
      <c r="A275" s="9">
        <f ca="1">IFERROR(__xludf.DUMMYFUNCTION("""COMPUTED_VALUE"""),80043)</f>
        <v>80043</v>
      </c>
      <c r="B275" s="10" t="str">
        <f ca="1">IFERROR(__xludf.DUMMYFUNCTION("""COMPUTED_VALUE"""),"Leo Hanson")</f>
        <v>Leo Hanson</v>
      </c>
      <c r="C275" s="10" t="str">
        <f ca="1">IFERROR(__xludf.DUMMYFUNCTION("""COMPUTED_VALUE"""),"Kealing Middle School")</f>
        <v>Kealing Middle School</v>
      </c>
      <c r="D275" s="10" t="str">
        <f ca="1">IFERROR(__xludf.DUMMYFUNCTION("""COMPUTED_VALUE"""),"MS")</f>
        <v>MS</v>
      </c>
      <c r="E275" s="10">
        <f ca="1">IFERROR(__xludf.DUMMYFUNCTION("""COMPUTED_VALUE"""),248)</f>
        <v>248</v>
      </c>
      <c r="F275" s="10">
        <f ca="1">IFERROR(__xludf.DUMMYFUNCTION("""COMPUTED_VALUE"""),4)</f>
        <v>4</v>
      </c>
      <c r="G275" s="10">
        <f ca="1">IFERROR(__xludf.DUMMYFUNCTION("""COMPUTED_VALUE"""),130)</f>
        <v>130</v>
      </c>
      <c r="H275" s="10">
        <f ca="1">IFERROR(__xludf.DUMMYFUNCTION("""COMPUTED_VALUE"""),118)</f>
        <v>118</v>
      </c>
    </row>
    <row r="276" spans="1:8">
      <c r="A276" s="9">
        <f ca="1">IFERROR(__xludf.DUMMYFUNCTION("""COMPUTED_VALUE"""),80044)</f>
        <v>80044</v>
      </c>
      <c r="B276" s="10" t="str">
        <f ca="1">IFERROR(__xludf.DUMMYFUNCTION("""COMPUTED_VALUE"""),"Louella Cathell")</f>
        <v>Louella Cathell</v>
      </c>
      <c r="C276" s="10" t="str">
        <f ca="1">IFERROR(__xludf.DUMMYFUNCTION("""COMPUTED_VALUE"""),"Kealing Middle School")</f>
        <v>Kealing Middle School</v>
      </c>
      <c r="D276" s="10" t="str">
        <f ca="1">IFERROR(__xludf.DUMMYFUNCTION("""COMPUTED_VALUE"""),"MS")</f>
        <v>MS</v>
      </c>
      <c r="E276" s="10">
        <f ca="1">IFERROR(__xludf.DUMMYFUNCTION("""COMPUTED_VALUE"""),238)</f>
        <v>238</v>
      </c>
      <c r="F276" s="10">
        <f ca="1">IFERROR(__xludf.DUMMYFUNCTION("""COMPUTED_VALUE"""),3)</f>
        <v>3</v>
      </c>
      <c r="G276" s="10">
        <f ca="1">IFERROR(__xludf.DUMMYFUNCTION("""COMPUTED_VALUE"""),122)</f>
        <v>122</v>
      </c>
      <c r="H276" s="10">
        <f ca="1">IFERROR(__xludf.DUMMYFUNCTION("""COMPUTED_VALUE"""),116)</f>
        <v>116</v>
      </c>
    </row>
    <row r="277" spans="1:8">
      <c r="A277" s="9">
        <f ca="1">IFERROR(__xludf.DUMMYFUNCTION("""COMPUTED_VALUE"""),80045)</f>
        <v>80045</v>
      </c>
      <c r="B277" s="10" t="str">
        <f ca="1">IFERROR(__xludf.DUMMYFUNCTION("""COMPUTED_VALUE"""),"Luisa Shanahan")</f>
        <v>Luisa Shanahan</v>
      </c>
      <c r="C277" s="10" t="str">
        <f ca="1">IFERROR(__xludf.DUMMYFUNCTION("""COMPUTED_VALUE"""),"Kealing Middle School")</f>
        <v>Kealing Middle School</v>
      </c>
      <c r="D277" s="10" t="str">
        <f ca="1">IFERROR(__xludf.DUMMYFUNCTION("""COMPUTED_VALUE"""),"MS")</f>
        <v>MS</v>
      </c>
      <c r="E277" s="10">
        <f ca="1">IFERROR(__xludf.DUMMYFUNCTION("""COMPUTED_VALUE"""),273)</f>
        <v>273</v>
      </c>
      <c r="F277" s="10">
        <f ca="1">IFERROR(__xludf.DUMMYFUNCTION("""COMPUTED_VALUE"""),10)</f>
        <v>10</v>
      </c>
      <c r="G277" s="10">
        <f ca="1">IFERROR(__xludf.DUMMYFUNCTION("""COMPUTED_VALUE"""),141)</f>
        <v>141</v>
      </c>
      <c r="H277" s="10">
        <f ca="1">IFERROR(__xludf.DUMMYFUNCTION("""COMPUTED_VALUE"""),132)</f>
        <v>132</v>
      </c>
    </row>
    <row r="278" spans="1:8">
      <c r="A278" s="9">
        <f ca="1">IFERROR(__xludf.DUMMYFUNCTION("""COMPUTED_VALUE"""),80046)</f>
        <v>80046</v>
      </c>
      <c r="B278" s="10" t="str">
        <f ca="1">IFERROR(__xludf.DUMMYFUNCTION("""COMPUTED_VALUE"""),"Lyla Woodland")</f>
        <v>Lyla Woodland</v>
      </c>
      <c r="C278" s="10" t="str">
        <f ca="1">IFERROR(__xludf.DUMMYFUNCTION("""COMPUTED_VALUE"""),"Kealing Middle School")</f>
        <v>Kealing Middle School</v>
      </c>
      <c r="D278" s="10" t="str">
        <f ca="1">IFERROR(__xludf.DUMMYFUNCTION("""COMPUTED_VALUE"""),"MS")</f>
        <v>MS</v>
      </c>
      <c r="E278" s="10">
        <f ca="1">IFERROR(__xludf.DUMMYFUNCTION("""COMPUTED_VALUE"""),204)</f>
        <v>204</v>
      </c>
      <c r="F278" s="10">
        <f ca="1">IFERROR(__xludf.DUMMYFUNCTION("""COMPUTED_VALUE"""),1)</f>
        <v>1</v>
      </c>
      <c r="G278" s="10">
        <f ca="1">IFERROR(__xludf.DUMMYFUNCTION("""COMPUTED_VALUE"""),118)</f>
        <v>118</v>
      </c>
      <c r="H278" s="10">
        <f ca="1">IFERROR(__xludf.DUMMYFUNCTION("""COMPUTED_VALUE"""),86)</f>
        <v>86</v>
      </c>
    </row>
    <row r="279" spans="1:8">
      <c r="A279" s="9">
        <f ca="1">IFERROR(__xludf.DUMMYFUNCTION("""COMPUTED_VALUE"""),80047)</f>
        <v>80047</v>
      </c>
      <c r="B279" s="10" t="str">
        <f ca="1">IFERROR(__xludf.DUMMYFUNCTION("""COMPUTED_VALUE"""),"Marco Campagna")</f>
        <v>Marco Campagna</v>
      </c>
      <c r="C279" s="10" t="str">
        <f ca="1">IFERROR(__xludf.DUMMYFUNCTION("""COMPUTED_VALUE"""),"Kealing Middle School")</f>
        <v>Kealing Middle School</v>
      </c>
      <c r="D279" s="10" t="str">
        <f ca="1">IFERROR(__xludf.DUMMYFUNCTION("""COMPUTED_VALUE"""),"MS")</f>
        <v>MS</v>
      </c>
      <c r="E279" s="10">
        <f ca="1">IFERROR(__xludf.DUMMYFUNCTION("""COMPUTED_VALUE"""),247)</f>
        <v>247</v>
      </c>
      <c r="F279" s="10">
        <f ca="1">IFERROR(__xludf.DUMMYFUNCTION("""COMPUTED_VALUE"""),6)</f>
        <v>6</v>
      </c>
      <c r="G279" s="10">
        <f ca="1">IFERROR(__xludf.DUMMYFUNCTION("""COMPUTED_VALUE"""),136)</f>
        <v>136</v>
      </c>
      <c r="H279" s="10">
        <f ca="1">IFERROR(__xludf.DUMMYFUNCTION("""COMPUTED_VALUE"""),111)</f>
        <v>111</v>
      </c>
    </row>
    <row r="280" spans="1:8">
      <c r="A280" s="9">
        <f ca="1">IFERROR(__xludf.DUMMYFUNCTION("""COMPUTED_VALUE"""),80049)</f>
        <v>80049</v>
      </c>
      <c r="B280" s="10" t="str">
        <f ca="1">IFERROR(__xludf.DUMMYFUNCTION("""COMPUTED_VALUE"""),"Mateo Rodriguez")</f>
        <v>Mateo Rodriguez</v>
      </c>
      <c r="C280" s="10" t="str">
        <f ca="1">IFERROR(__xludf.DUMMYFUNCTION("""COMPUTED_VALUE"""),"Kealing Middle School")</f>
        <v>Kealing Middle School</v>
      </c>
      <c r="D280" s="10" t="str">
        <f ca="1">IFERROR(__xludf.DUMMYFUNCTION("""COMPUTED_VALUE"""),"MS")</f>
        <v>MS</v>
      </c>
      <c r="E280" s="10">
        <f ca="1">IFERROR(__xludf.DUMMYFUNCTION("""COMPUTED_VALUE"""),223)</f>
        <v>223</v>
      </c>
      <c r="F280" s="10">
        <f ca="1">IFERROR(__xludf.DUMMYFUNCTION("""COMPUTED_VALUE"""),3)</f>
        <v>3</v>
      </c>
      <c r="G280" s="10">
        <f ca="1">IFERROR(__xludf.DUMMYFUNCTION("""COMPUTED_VALUE"""),119)</f>
        <v>119</v>
      </c>
      <c r="H280" s="10">
        <f ca="1">IFERROR(__xludf.DUMMYFUNCTION("""COMPUTED_VALUE"""),104)</f>
        <v>104</v>
      </c>
    </row>
    <row r="281" spans="1:8">
      <c r="A281" s="9">
        <f ca="1">IFERROR(__xludf.DUMMYFUNCTION("""COMPUTED_VALUE"""),80050)</f>
        <v>80050</v>
      </c>
      <c r="B281" s="10" t="str">
        <f ca="1">IFERROR(__xludf.DUMMYFUNCTION("""COMPUTED_VALUE"""),"Melodi Alti")</f>
        <v>Melodi Alti</v>
      </c>
      <c r="C281" s="10" t="str">
        <f ca="1">IFERROR(__xludf.DUMMYFUNCTION("""COMPUTED_VALUE"""),"Kealing Middle School")</f>
        <v>Kealing Middle School</v>
      </c>
      <c r="D281" s="10" t="str">
        <f ca="1">IFERROR(__xludf.DUMMYFUNCTION("""COMPUTED_VALUE"""),"MS")</f>
        <v>MS</v>
      </c>
      <c r="E281" s="10">
        <f ca="1">IFERROR(__xludf.DUMMYFUNCTION("""COMPUTED_VALUE"""),278)</f>
        <v>278</v>
      </c>
      <c r="F281" s="10">
        <f ca="1">IFERROR(__xludf.DUMMYFUNCTION("""COMPUTED_VALUE"""),17)</f>
        <v>17</v>
      </c>
      <c r="G281" s="10">
        <f ca="1">IFERROR(__xludf.DUMMYFUNCTION("""COMPUTED_VALUE"""),139)</f>
        <v>139</v>
      </c>
      <c r="H281" s="10">
        <f ca="1">IFERROR(__xludf.DUMMYFUNCTION("""COMPUTED_VALUE"""),139)</f>
        <v>139</v>
      </c>
    </row>
    <row r="282" spans="1:8">
      <c r="A282" s="9">
        <f ca="1">IFERROR(__xludf.DUMMYFUNCTION("""COMPUTED_VALUE"""),80051)</f>
        <v>80051</v>
      </c>
      <c r="B282" s="10" t="str">
        <f ca="1">IFERROR(__xludf.DUMMYFUNCTION("""COMPUTED_VALUE"""),"Miles Cunningham")</f>
        <v>Miles Cunningham</v>
      </c>
      <c r="C282" s="10" t="str">
        <f ca="1">IFERROR(__xludf.DUMMYFUNCTION("""COMPUTED_VALUE"""),"Kealing Middle School")</f>
        <v>Kealing Middle School</v>
      </c>
      <c r="D282" s="10" t="str">
        <f ca="1">IFERROR(__xludf.DUMMYFUNCTION("""COMPUTED_VALUE"""),"MS")</f>
        <v>MS</v>
      </c>
      <c r="E282" s="10">
        <f ca="1">IFERROR(__xludf.DUMMYFUNCTION("""COMPUTED_VALUE"""),261)</f>
        <v>261</v>
      </c>
      <c r="F282" s="10">
        <f ca="1">IFERROR(__xludf.DUMMYFUNCTION("""COMPUTED_VALUE"""),8)</f>
        <v>8</v>
      </c>
      <c r="G282" s="10">
        <f ca="1">IFERROR(__xludf.DUMMYFUNCTION("""COMPUTED_VALUE"""),137)</f>
        <v>137</v>
      </c>
      <c r="H282" s="10">
        <f ca="1">IFERROR(__xludf.DUMMYFUNCTION("""COMPUTED_VALUE"""),124)</f>
        <v>124</v>
      </c>
    </row>
    <row r="283" spans="1:8">
      <c r="A283" s="9">
        <f ca="1">IFERROR(__xludf.DUMMYFUNCTION("""COMPUTED_VALUE"""),80052)</f>
        <v>80052</v>
      </c>
      <c r="B283" s="10" t="str">
        <f ca="1">IFERROR(__xludf.DUMMYFUNCTION("""COMPUTED_VALUE"""),"Mithra Krishnan")</f>
        <v>Mithra Krishnan</v>
      </c>
      <c r="C283" s="10" t="str">
        <f ca="1">IFERROR(__xludf.DUMMYFUNCTION("""COMPUTED_VALUE"""),"Kealing Middle School")</f>
        <v>Kealing Middle School</v>
      </c>
      <c r="D283" s="10" t="str">
        <f ca="1">IFERROR(__xludf.DUMMYFUNCTION("""COMPUTED_VALUE"""),"MS")</f>
        <v>MS</v>
      </c>
      <c r="E283" s="10">
        <f ca="1">IFERROR(__xludf.DUMMYFUNCTION("""COMPUTED_VALUE"""),204)</f>
        <v>204</v>
      </c>
      <c r="F283" s="10">
        <f ca="1">IFERROR(__xludf.DUMMYFUNCTION("""COMPUTED_VALUE"""),2)</f>
        <v>2</v>
      </c>
      <c r="G283" s="10">
        <f ca="1">IFERROR(__xludf.DUMMYFUNCTION("""COMPUTED_VALUE"""),116)</f>
        <v>116</v>
      </c>
      <c r="H283" s="10">
        <f ca="1">IFERROR(__xludf.DUMMYFUNCTION("""COMPUTED_VALUE"""),88)</f>
        <v>88</v>
      </c>
    </row>
    <row r="284" spans="1:8">
      <c r="A284" s="9">
        <f ca="1">IFERROR(__xludf.DUMMYFUNCTION("""COMPUTED_VALUE"""),80053)</f>
        <v>80053</v>
      </c>
      <c r="B284" s="10" t="str">
        <f ca="1">IFERROR(__xludf.DUMMYFUNCTION("""COMPUTED_VALUE"""),"Nico Alcorta")</f>
        <v>Nico Alcorta</v>
      </c>
      <c r="C284" s="10" t="str">
        <f ca="1">IFERROR(__xludf.DUMMYFUNCTION("""COMPUTED_VALUE"""),"Kealing Middle School")</f>
        <v>Kealing Middle School</v>
      </c>
      <c r="D284" s="10" t="str">
        <f ca="1">IFERROR(__xludf.DUMMYFUNCTION("""COMPUTED_VALUE"""),"MS")</f>
        <v>MS</v>
      </c>
      <c r="E284" s="10">
        <f ca="1">IFERROR(__xludf.DUMMYFUNCTION("""COMPUTED_VALUE"""),264)</f>
        <v>264</v>
      </c>
      <c r="F284" s="10">
        <f ca="1">IFERROR(__xludf.DUMMYFUNCTION("""COMPUTED_VALUE"""),12)</f>
        <v>12</v>
      </c>
      <c r="G284" s="10">
        <f ca="1">IFERROR(__xludf.DUMMYFUNCTION("""COMPUTED_VALUE"""),141)</f>
        <v>141</v>
      </c>
      <c r="H284" s="10">
        <f ca="1">IFERROR(__xludf.DUMMYFUNCTION("""COMPUTED_VALUE"""),123)</f>
        <v>123</v>
      </c>
    </row>
    <row r="285" spans="1:8">
      <c r="A285" s="9">
        <f ca="1">IFERROR(__xludf.DUMMYFUNCTION("""COMPUTED_VALUE"""),80054)</f>
        <v>80054</v>
      </c>
      <c r="B285" s="10" t="str">
        <f ca="1">IFERROR(__xludf.DUMMYFUNCTION("""COMPUTED_VALUE"""),"Oliver Magic")</f>
        <v>Oliver Magic</v>
      </c>
      <c r="C285" s="10" t="str">
        <f ca="1">IFERROR(__xludf.DUMMYFUNCTION("""COMPUTED_VALUE"""),"Kealing Middle School")</f>
        <v>Kealing Middle School</v>
      </c>
      <c r="D285" s="10" t="str">
        <f ca="1">IFERROR(__xludf.DUMMYFUNCTION("""COMPUTED_VALUE"""),"MS")</f>
        <v>MS</v>
      </c>
      <c r="E285" s="10">
        <f ca="1">IFERROR(__xludf.DUMMYFUNCTION("""COMPUTED_VALUE"""),229)</f>
        <v>229</v>
      </c>
      <c r="F285" s="10">
        <f ca="1">IFERROR(__xludf.DUMMYFUNCTION("""COMPUTED_VALUE"""),2)</f>
        <v>2</v>
      </c>
      <c r="G285" s="10">
        <f ca="1">IFERROR(__xludf.DUMMYFUNCTION("""COMPUTED_VALUE"""),125)</f>
        <v>125</v>
      </c>
      <c r="H285" s="10">
        <f ca="1">IFERROR(__xludf.DUMMYFUNCTION("""COMPUTED_VALUE"""),104)</f>
        <v>104</v>
      </c>
    </row>
    <row r="286" spans="1:8">
      <c r="A286" s="9">
        <f ca="1">IFERROR(__xludf.DUMMYFUNCTION("""COMPUTED_VALUE"""),80055)</f>
        <v>80055</v>
      </c>
      <c r="B286" s="10" t="str">
        <f ca="1">IFERROR(__xludf.DUMMYFUNCTION("""COMPUTED_VALUE"""),"Oliver Tally")</f>
        <v>Oliver Tally</v>
      </c>
      <c r="C286" s="10" t="str">
        <f ca="1">IFERROR(__xludf.DUMMYFUNCTION("""COMPUTED_VALUE"""),"Kealing Middle School")</f>
        <v>Kealing Middle School</v>
      </c>
      <c r="D286" s="10" t="str">
        <f ca="1">IFERROR(__xludf.DUMMYFUNCTION("""COMPUTED_VALUE"""),"MS")</f>
        <v>MS</v>
      </c>
      <c r="E286" s="10">
        <f ca="1">IFERROR(__xludf.DUMMYFUNCTION("""COMPUTED_VALUE"""),236)</f>
        <v>236</v>
      </c>
      <c r="F286" s="10">
        <f ca="1">IFERROR(__xludf.DUMMYFUNCTION("""COMPUTED_VALUE"""),6)</f>
        <v>6</v>
      </c>
      <c r="G286" s="10">
        <f ca="1">IFERROR(__xludf.DUMMYFUNCTION("""COMPUTED_VALUE"""),129)</f>
        <v>129</v>
      </c>
      <c r="H286" s="10">
        <f ca="1">IFERROR(__xludf.DUMMYFUNCTION("""COMPUTED_VALUE"""),107)</f>
        <v>107</v>
      </c>
    </row>
    <row r="287" spans="1:8">
      <c r="A287" s="9">
        <f ca="1">IFERROR(__xludf.DUMMYFUNCTION("""COMPUTED_VALUE"""),80056)</f>
        <v>80056</v>
      </c>
      <c r="B287" s="10" t="str">
        <f ca="1">IFERROR(__xludf.DUMMYFUNCTION("""COMPUTED_VALUE"""),"Olivia Hensley")</f>
        <v>Olivia Hensley</v>
      </c>
      <c r="C287" s="10" t="str">
        <f ca="1">IFERROR(__xludf.DUMMYFUNCTION("""COMPUTED_VALUE"""),"Kealing Middle School")</f>
        <v>Kealing Middle School</v>
      </c>
      <c r="D287" s="10" t="str">
        <f ca="1">IFERROR(__xludf.DUMMYFUNCTION("""COMPUTED_VALUE"""),"MS")</f>
        <v>MS</v>
      </c>
      <c r="E287" s="10">
        <f ca="1">IFERROR(__xludf.DUMMYFUNCTION("""COMPUTED_VALUE"""),167)</f>
        <v>167</v>
      </c>
      <c r="F287" s="10">
        <f ca="1">IFERROR(__xludf.DUMMYFUNCTION("""COMPUTED_VALUE"""),0)</f>
        <v>0</v>
      </c>
      <c r="G287" s="10">
        <f ca="1">IFERROR(__xludf.DUMMYFUNCTION("""COMPUTED_VALUE"""),97)</f>
        <v>97</v>
      </c>
      <c r="H287" s="10">
        <f ca="1">IFERROR(__xludf.DUMMYFUNCTION("""COMPUTED_VALUE"""),70)</f>
        <v>70</v>
      </c>
    </row>
    <row r="288" spans="1:8">
      <c r="A288" s="9">
        <f ca="1">IFERROR(__xludf.DUMMYFUNCTION("""COMPUTED_VALUE"""),80057)</f>
        <v>80057</v>
      </c>
      <c r="B288" s="10" t="str">
        <f ca="1">IFERROR(__xludf.DUMMYFUNCTION("""COMPUTED_VALUE"""),"Pauline Saenz")</f>
        <v>Pauline Saenz</v>
      </c>
      <c r="C288" s="10" t="str">
        <f ca="1">IFERROR(__xludf.DUMMYFUNCTION("""COMPUTED_VALUE"""),"Kealing Middle School")</f>
        <v>Kealing Middle School</v>
      </c>
      <c r="D288" s="10" t="str">
        <f ca="1">IFERROR(__xludf.DUMMYFUNCTION("""COMPUTED_VALUE"""),"MS")</f>
        <v>MS</v>
      </c>
      <c r="E288" s="10">
        <f ca="1">IFERROR(__xludf.DUMMYFUNCTION("""COMPUTED_VALUE"""),238)</f>
        <v>238</v>
      </c>
      <c r="F288" s="10">
        <f ca="1">IFERROR(__xludf.DUMMYFUNCTION("""COMPUTED_VALUE"""),4)</f>
        <v>4</v>
      </c>
      <c r="G288" s="10">
        <f ca="1">IFERROR(__xludf.DUMMYFUNCTION("""COMPUTED_VALUE"""),124)</f>
        <v>124</v>
      </c>
      <c r="H288" s="10">
        <f ca="1">IFERROR(__xludf.DUMMYFUNCTION("""COMPUTED_VALUE"""),114)</f>
        <v>114</v>
      </c>
    </row>
    <row r="289" spans="1:8">
      <c r="A289" s="9">
        <f ca="1">IFERROR(__xludf.DUMMYFUNCTION("""COMPUTED_VALUE"""),80058)</f>
        <v>80058</v>
      </c>
      <c r="B289" s="10" t="str">
        <f ca="1">IFERROR(__xludf.DUMMYFUNCTION("""COMPUTED_VALUE"""),"Peyton Hall")</f>
        <v>Peyton Hall</v>
      </c>
      <c r="C289" s="10" t="str">
        <f ca="1">IFERROR(__xludf.DUMMYFUNCTION("""COMPUTED_VALUE"""),"Kealing Middle School")</f>
        <v>Kealing Middle School</v>
      </c>
      <c r="D289" s="10" t="str">
        <f ca="1">IFERROR(__xludf.DUMMYFUNCTION("""COMPUTED_VALUE"""),"MS")</f>
        <v>MS</v>
      </c>
      <c r="E289" s="10">
        <f ca="1">IFERROR(__xludf.DUMMYFUNCTION("""COMPUTED_VALUE"""),263)</f>
        <v>263</v>
      </c>
      <c r="F289" s="10">
        <f ca="1">IFERROR(__xludf.DUMMYFUNCTION("""COMPUTED_VALUE"""),10)</f>
        <v>10</v>
      </c>
      <c r="G289" s="10">
        <f ca="1">IFERROR(__xludf.DUMMYFUNCTION("""COMPUTED_VALUE"""),142)</f>
        <v>142</v>
      </c>
      <c r="H289" s="10">
        <f ca="1">IFERROR(__xludf.DUMMYFUNCTION("""COMPUTED_VALUE"""),121)</f>
        <v>121</v>
      </c>
    </row>
    <row r="290" spans="1:8">
      <c r="A290" s="9">
        <f ca="1">IFERROR(__xludf.DUMMYFUNCTION("""COMPUTED_VALUE"""),80059)</f>
        <v>80059</v>
      </c>
      <c r="B290" s="10" t="str">
        <f ca="1">IFERROR(__xludf.DUMMYFUNCTION("""COMPUTED_VALUE"""),"Reiyuan Rekepalli")</f>
        <v>Reiyuan Rekepalli</v>
      </c>
      <c r="C290" s="10" t="str">
        <f ca="1">IFERROR(__xludf.DUMMYFUNCTION("""COMPUTED_VALUE"""),"Kealing Middle School")</f>
        <v>Kealing Middle School</v>
      </c>
      <c r="D290" s="10" t="str">
        <f ca="1">IFERROR(__xludf.DUMMYFUNCTION("""COMPUTED_VALUE"""),"MS")</f>
        <v>MS</v>
      </c>
      <c r="E290" s="10">
        <f ca="1">IFERROR(__xludf.DUMMYFUNCTION("""COMPUTED_VALUE"""),237)</f>
        <v>237</v>
      </c>
      <c r="F290" s="10">
        <f ca="1">IFERROR(__xludf.DUMMYFUNCTION("""COMPUTED_VALUE"""),5)</f>
        <v>5</v>
      </c>
      <c r="G290" s="10">
        <f ca="1">IFERROR(__xludf.DUMMYFUNCTION("""COMPUTED_VALUE"""),130)</f>
        <v>130</v>
      </c>
      <c r="H290" s="10">
        <f ca="1">IFERROR(__xludf.DUMMYFUNCTION("""COMPUTED_VALUE"""),107)</f>
        <v>107</v>
      </c>
    </row>
    <row r="291" spans="1:8">
      <c r="A291" s="9">
        <f ca="1">IFERROR(__xludf.DUMMYFUNCTION("""COMPUTED_VALUE"""),80060)</f>
        <v>80060</v>
      </c>
      <c r="B291" s="10" t="str">
        <f ca="1">IFERROR(__xludf.DUMMYFUNCTION("""COMPUTED_VALUE"""),"Saahil Kamath")</f>
        <v>Saahil Kamath</v>
      </c>
      <c r="C291" s="10" t="str">
        <f ca="1">IFERROR(__xludf.DUMMYFUNCTION("""COMPUTED_VALUE"""),"Kealing Middle School")</f>
        <v>Kealing Middle School</v>
      </c>
      <c r="D291" s="10" t="str">
        <f ca="1">IFERROR(__xludf.DUMMYFUNCTION("""COMPUTED_VALUE"""),"MS")</f>
        <v>MS</v>
      </c>
      <c r="E291" s="10">
        <f ca="1">IFERROR(__xludf.DUMMYFUNCTION("""COMPUTED_VALUE"""),253)</f>
        <v>253</v>
      </c>
      <c r="F291" s="10">
        <f ca="1">IFERROR(__xludf.DUMMYFUNCTION("""COMPUTED_VALUE"""),8)</f>
        <v>8</v>
      </c>
      <c r="G291" s="10">
        <f ca="1">IFERROR(__xludf.DUMMYFUNCTION("""COMPUTED_VALUE"""),134)</f>
        <v>134</v>
      </c>
      <c r="H291" s="10">
        <f ca="1">IFERROR(__xludf.DUMMYFUNCTION("""COMPUTED_VALUE"""),119)</f>
        <v>119</v>
      </c>
    </row>
    <row r="292" spans="1:8">
      <c r="A292" s="9">
        <f ca="1">IFERROR(__xludf.DUMMYFUNCTION("""COMPUTED_VALUE"""),80061)</f>
        <v>80061</v>
      </c>
      <c r="B292" s="10" t="str">
        <f ca="1">IFERROR(__xludf.DUMMYFUNCTION("""COMPUTED_VALUE"""),"Samanvitha Ellore")</f>
        <v>Samanvitha Ellore</v>
      </c>
      <c r="C292" s="10" t="str">
        <f ca="1">IFERROR(__xludf.DUMMYFUNCTION("""COMPUTED_VALUE"""),"Kealing Middle School")</f>
        <v>Kealing Middle School</v>
      </c>
      <c r="D292" s="10" t="str">
        <f ca="1">IFERROR(__xludf.DUMMYFUNCTION("""COMPUTED_VALUE"""),"MS")</f>
        <v>MS</v>
      </c>
      <c r="E292" s="10">
        <f ca="1">IFERROR(__xludf.DUMMYFUNCTION("""COMPUTED_VALUE"""),179)</f>
        <v>179</v>
      </c>
      <c r="F292" s="10">
        <f ca="1">IFERROR(__xludf.DUMMYFUNCTION("""COMPUTED_VALUE"""),0)</f>
        <v>0</v>
      </c>
      <c r="G292" s="10">
        <f ca="1">IFERROR(__xludf.DUMMYFUNCTION("""COMPUTED_VALUE"""),102)</f>
        <v>102</v>
      </c>
      <c r="H292" s="10">
        <f ca="1">IFERROR(__xludf.DUMMYFUNCTION("""COMPUTED_VALUE"""),77)</f>
        <v>77</v>
      </c>
    </row>
    <row r="293" spans="1:8">
      <c r="A293" s="9">
        <f ca="1">IFERROR(__xludf.DUMMYFUNCTION("""COMPUTED_VALUE"""),80062)</f>
        <v>80062</v>
      </c>
      <c r="B293" s="10" t="str">
        <f ca="1">IFERROR(__xludf.DUMMYFUNCTION("""COMPUTED_VALUE"""),"Sarah Tong")</f>
        <v>Sarah Tong</v>
      </c>
      <c r="C293" s="10" t="str">
        <f ca="1">IFERROR(__xludf.DUMMYFUNCTION("""COMPUTED_VALUE"""),"Kealing Middle School")</f>
        <v>Kealing Middle School</v>
      </c>
      <c r="D293" s="10" t="str">
        <f ca="1">IFERROR(__xludf.DUMMYFUNCTION("""COMPUTED_VALUE"""),"MS")</f>
        <v>MS</v>
      </c>
      <c r="E293" s="10">
        <f ca="1">IFERROR(__xludf.DUMMYFUNCTION("""COMPUTED_VALUE"""),184)</f>
        <v>184</v>
      </c>
      <c r="F293" s="10">
        <f ca="1">IFERROR(__xludf.DUMMYFUNCTION("""COMPUTED_VALUE"""),2)</f>
        <v>2</v>
      </c>
      <c r="G293" s="10">
        <f ca="1">IFERROR(__xludf.DUMMYFUNCTION("""COMPUTED_VALUE"""),117)</f>
        <v>117</v>
      </c>
      <c r="H293" s="10">
        <f ca="1">IFERROR(__xludf.DUMMYFUNCTION("""COMPUTED_VALUE"""),67)</f>
        <v>67</v>
      </c>
    </row>
    <row r="294" spans="1:8">
      <c r="A294" s="9">
        <f ca="1">IFERROR(__xludf.DUMMYFUNCTION("""COMPUTED_VALUE"""),80063)</f>
        <v>80063</v>
      </c>
      <c r="B294" s="10" t="str">
        <f ca="1">IFERROR(__xludf.DUMMYFUNCTION("""COMPUTED_VALUE"""),"Stella Gormin")</f>
        <v>Stella Gormin</v>
      </c>
      <c r="C294" s="10" t="str">
        <f ca="1">IFERROR(__xludf.DUMMYFUNCTION("""COMPUTED_VALUE"""),"Kealing Middle School")</f>
        <v>Kealing Middle School</v>
      </c>
      <c r="D294" s="10" t="str">
        <f ca="1">IFERROR(__xludf.DUMMYFUNCTION("""COMPUTED_VALUE"""),"MS")</f>
        <v>MS</v>
      </c>
      <c r="E294" s="10">
        <f ca="1">IFERROR(__xludf.DUMMYFUNCTION("""COMPUTED_VALUE"""),256)</f>
        <v>256</v>
      </c>
      <c r="F294" s="10">
        <f ca="1">IFERROR(__xludf.DUMMYFUNCTION("""COMPUTED_VALUE"""),9)</f>
        <v>9</v>
      </c>
      <c r="G294" s="10">
        <f ca="1">IFERROR(__xludf.DUMMYFUNCTION("""COMPUTED_VALUE"""),137)</f>
        <v>137</v>
      </c>
      <c r="H294" s="10">
        <f ca="1">IFERROR(__xludf.DUMMYFUNCTION("""COMPUTED_VALUE"""),119)</f>
        <v>119</v>
      </c>
    </row>
    <row r="295" spans="1:8">
      <c r="A295" s="9">
        <f ca="1">IFERROR(__xludf.DUMMYFUNCTION("""COMPUTED_VALUE"""),80064)</f>
        <v>80064</v>
      </c>
      <c r="B295" s="10" t="str">
        <f ca="1">IFERROR(__xludf.DUMMYFUNCTION("""COMPUTED_VALUE"""),"Sullivan McComb")</f>
        <v>Sullivan McComb</v>
      </c>
      <c r="C295" s="10" t="str">
        <f ca="1">IFERROR(__xludf.DUMMYFUNCTION("""COMPUTED_VALUE"""),"Kealing Middle School")</f>
        <v>Kealing Middle School</v>
      </c>
      <c r="D295" s="10" t="str">
        <f ca="1">IFERROR(__xludf.DUMMYFUNCTION("""COMPUTED_VALUE"""),"MS")</f>
        <v>MS</v>
      </c>
      <c r="E295" s="10">
        <f ca="1">IFERROR(__xludf.DUMMYFUNCTION("""COMPUTED_VALUE"""),250)</f>
        <v>250</v>
      </c>
      <c r="F295" s="10">
        <f ca="1">IFERROR(__xludf.DUMMYFUNCTION("""COMPUTED_VALUE"""),5)</f>
        <v>5</v>
      </c>
      <c r="G295" s="10">
        <f ca="1">IFERROR(__xludf.DUMMYFUNCTION("""COMPUTED_VALUE"""),127)</f>
        <v>127</v>
      </c>
      <c r="H295" s="10">
        <f ca="1">IFERROR(__xludf.DUMMYFUNCTION("""COMPUTED_VALUE"""),123)</f>
        <v>123</v>
      </c>
    </row>
    <row r="296" spans="1:8">
      <c r="A296" s="9">
        <f ca="1">IFERROR(__xludf.DUMMYFUNCTION("""COMPUTED_VALUE"""),80065)</f>
        <v>80065</v>
      </c>
      <c r="B296" s="10" t="str">
        <f ca="1">IFERROR(__xludf.DUMMYFUNCTION("""COMPUTED_VALUE"""),"Tiago Wright")</f>
        <v>Tiago Wright</v>
      </c>
      <c r="C296" s="10" t="str">
        <f ca="1">IFERROR(__xludf.DUMMYFUNCTION("""COMPUTED_VALUE"""),"Kealing Middle School")</f>
        <v>Kealing Middle School</v>
      </c>
      <c r="D296" s="10" t="str">
        <f ca="1">IFERROR(__xludf.DUMMYFUNCTION("""COMPUTED_VALUE"""),"MS")</f>
        <v>MS</v>
      </c>
      <c r="E296" s="10" t="str">
        <f ca="1">IFERROR(__xludf.DUMMYFUNCTION("""COMPUTED_VALUE"""),"Posting")</f>
        <v>Posting</v>
      </c>
      <c r="F296" s="10" t="str">
        <f ca="1">IFERROR(__xludf.DUMMYFUNCTION("""COMPUTED_VALUE"""),"Posting")</f>
        <v>Posting</v>
      </c>
      <c r="G296" s="10" t="str">
        <f ca="1">IFERROR(__xludf.DUMMYFUNCTION("""COMPUTED_VALUE"""),"Posting")</f>
        <v>Posting</v>
      </c>
      <c r="H296" s="10" t="str">
        <f ca="1">IFERROR(__xludf.DUMMYFUNCTION("""COMPUTED_VALUE"""),"Posting")</f>
        <v>Posting</v>
      </c>
    </row>
    <row r="297" spans="1:8">
      <c r="A297" s="9">
        <f ca="1">IFERROR(__xludf.DUMMYFUNCTION("""COMPUTED_VALUE"""),80066)</f>
        <v>80066</v>
      </c>
      <c r="B297" s="10" t="str">
        <f ca="1">IFERROR(__xludf.DUMMYFUNCTION("""COMPUTED_VALUE"""),"Will Vaughan")</f>
        <v>Will Vaughan</v>
      </c>
      <c r="C297" s="10" t="str">
        <f ca="1">IFERROR(__xludf.DUMMYFUNCTION("""COMPUTED_VALUE"""),"Kealing Middle School")</f>
        <v>Kealing Middle School</v>
      </c>
      <c r="D297" s="10" t="str">
        <f ca="1">IFERROR(__xludf.DUMMYFUNCTION("""COMPUTED_VALUE"""),"MS")</f>
        <v>MS</v>
      </c>
      <c r="E297" s="10">
        <f ca="1">IFERROR(__xludf.DUMMYFUNCTION("""COMPUTED_VALUE"""),251)</f>
        <v>251</v>
      </c>
      <c r="F297" s="10">
        <f ca="1">IFERROR(__xludf.DUMMYFUNCTION("""COMPUTED_VALUE"""),7)</f>
        <v>7</v>
      </c>
      <c r="G297" s="10">
        <f ca="1">IFERROR(__xludf.DUMMYFUNCTION("""COMPUTED_VALUE"""),129)</f>
        <v>129</v>
      </c>
      <c r="H297" s="10">
        <f ca="1">IFERROR(__xludf.DUMMYFUNCTION("""COMPUTED_VALUE"""),122)</f>
        <v>122</v>
      </c>
    </row>
    <row r="298" spans="1:8">
      <c r="A298" s="9">
        <f ca="1">IFERROR(__xludf.DUMMYFUNCTION("""COMPUTED_VALUE"""),80067)</f>
        <v>80067</v>
      </c>
      <c r="B298" s="10" t="str">
        <f ca="1">IFERROR(__xludf.DUMMYFUNCTION("""COMPUTED_VALUE"""),"Wyatt Rogers")</f>
        <v>Wyatt Rogers</v>
      </c>
      <c r="C298" s="10" t="str">
        <f ca="1">IFERROR(__xludf.DUMMYFUNCTION("""COMPUTED_VALUE"""),"Kealing Middle School")</f>
        <v>Kealing Middle School</v>
      </c>
      <c r="D298" s="10" t="str">
        <f ca="1">IFERROR(__xludf.DUMMYFUNCTION("""COMPUTED_VALUE"""),"MS")</f>
        <v>MS</v>
      </c>
      <c r="E298" s="10">
        <f ca="1">IFERROR(__xludf.DUMMYFUNCTION("""COMPUTED_VALUE"""),240)</f>
        <v>240</v>
      </c>
      <c r="F298" s="10">
        <f ca="1">IFERROR(__xludf.DUMMYFUNCTION("""COMPUTED_VALUE"""),6)</f>
        <v>6</v>
      </c>
      <c r="G298" s="10">
        <f ca="1">IFERROR(__xludf.DUMMYFUNCTION("""COMPUTED_VALUE"""),139)</f>
        <v>139</v>
      </c>
      <c r="H298" s="10">
        <f ca="1">IFERROR(__xludf.DUMMYFUNCTION("""COMPUTED_VALUE"""),101)</f>
        <v>101</v>
      </c>
    </row>
    <row r="299" spans="1:8">
      <c r="A299" s="9">
        <f ca="1">IFERROR(__xludf.DUMMYFUNCTION("""COMPUTED_VALUE"""),90002)</f>
        <v>90002</v>
      </c>
      <c r="B299" s="10" t="str">
        <f ca="1">IFERROR(__xludf.DUMMYFUNCTION("""COMPUTED_VALUE"""),"Aiko Jones")</f>
        <v>Aiko Jones</v>
      </c>
      <c r="C299" s="10" t="str">
        <f ca="1">IFERROR(__xludf.DUMMYFUNCTION("""COMPUTED_VALUE"""),"Lamar Middle School")</f>
        <v>Lamar Middle School</v>
      </c>
      <c r="D299" s="10" t="str">
        <f ca="1">IFERROR(__xludf.DUMMYFUNCTION("""COMPUTED_VALUE"""),"MS")</f>
        <v>MS</v>
      </c>
      <c r="E299" s="10">
        <f ca="1">IFERROR(__xludf.DUMMYFUNCTION("""COMPUTED_VALUE"""),274)</f>
        <v>274</v>
      </c>
      <c r="F299" s="10">
        <f ca="1">IFERROR(__xludf.DUMMYFUNCTION("""COMPUTED_VALUE"""),10)</f>
        <v>10</v>
      </c>
      <c r="G299" s="10">
        <f ca="1">IFERROR(__xludf.DUMMYFUNCTION("""COMPUTED_VALUE"""),145)</f>
        <v>145</v>
      </c>
      <c r="H299" s="10">
        <f ca="1">IFERROR(__xludf.DUMMYFUNCTION("""COMPUTED_VALUE"""),129)</f>
        <v>129</v>
      </c>
    </row>
    <row r="300" spans="1:8">
      <c r="A300" s="9">
        <f ca="1">IFERROR(__xludf.DUMMYFUNCTION("""COMPUTED_VALUE"""),90003)</f>
        <v>90003</v>
      </c>
      <c r="B300" s="10" t="str">
        <f ca="1">IFERROR(__xludf.DUMMYFUNCTION("""COMPUTED_VALUE"""),"Alec Kirk")</f>
        <v>Alec Kirk</v>
      </c>
      <c r="C300" s="10" t="str">
        <f ca="1">IFERROR(__xludf.DUMMYFUNCTION("""COMPUTED_VALUE"""),"Lamar Middle School")</f>
        <v>Lamar Middle School</v>
      </c>
      <c r="D300" s="10" t="str">
        <f ca="1">IFERROR(__xludf.DUMMYFUNCTION("""COMPUTED_VALUE"""),"MS")</f>
        <v>MS</v>
      </c>
      <c r="E300" s="10">
        <f ca="1">IFERROR(__xludf.DUMMYFUNCTION("""COMPUTED_VALUE"""),257)</f>
        <v>257</v>
      </c>
      <c r="F300" s="10">
        <f ca="1">IFERROR(__xludf.DUMMYFUNCTION("""COMPUTED_VALUE"""),8)</f>
        <v>8</v>
      </c>
      <c r="G300" s="10">
        <f ca="1">IFERROR(__xludf.DUMMYFUNCTION("""COMPUTED_VALUE"""),139)</f>
        <v>139</v>
      </c>
      <c r="H300" s="10">
        <f ca="1">IFERROR(__xludf.DUMMYFUNCTION("""COMPUTED_VALUE"""),118)</f>
        <v>118</v>
      </c>
    </row>
    <row r="301" spans="1:8">
      <c r="A301" s="9">
        <f ca="1">IFERROR(__xludf.DUMMYFUNCTION("""COMPUTED_VALUE"""),90004)</f>
        <v>90004</v>
      </c>
      <c r="B301" s="10" t="str">
        <f ca="1">IFERROR(__xludf.DUMMYFUNCTION("""COMPUTED_VALUE"""),"Ash Leaverton")</f>
        <v>Ash Leaverton</v>
      </c>
      <c r="C301" s="10" t="str">
        <f ca="1">IFERROR(__xludf.DUMMYFUNCTION("""COMPUTED_VALUE"""),"Lamar Middle School")</f>
        <v>Lamar Middle School</v>
      </c>
      <c r="D301" s="10" t="str">
        <f ca="1">IFERROR(__xludf.DUMMYFUNCTION("""COMPUTED_VALUE"""),"MS")</f>
        <v>MS</v>
      </c>
      <c r="E301" s="10">
        <f ca="1">IFERROR(__xludf.DUMMYFUNCTION("""COMPUTED_VALUE"""),259)</f>
        <v>259</v>
      </c>
      <c r="F301" s="10">
        <f ca="1">IFERROR(__xludf.DUMMYFUNCTION("""COMPUTED_VALUE"""),7)</f>
        <v>7</v>
      </c>
      <c r="G301" s="10">
        <f ca="1">IFERROR(__xludf.DUMMYFUNCTION("""COMPUTED_VALUE"""),138)</f>
        <v>138</v>
      </c>
      <c r="H301" s="10">
        <f ca="1">IFERROR(__xludf.DUMMYFUNCTION("""COMPUTED_VALUE"""),121)</f>
        <v>121</v>
      </c>
    </row>
    <row r="302" spans="1:8">
      <c r="A302" s="9">
        <f ca="1">IFERROR(__xludf.DUMMYFUNCTION("""COMPUTED_VALUE"""),90005)</f>
        <v>90005</v>
      </c>
      <c r="B302" s="10" t="str">
        <f ca="1">IFERROR(__xludf.DUMMYFUNCTION("""COMPUTED_VALUE"""),"Atlee San Miguel-Williams")</f>
        <v>Atlee San Miguel-Williams</v>
      </c>
      <c r="C302" s="10" t="str">
        <f ca="1">IFERROR(__xludf.DUMMYFUNCTION("""COMPUTED_VALUE"""),"Lamar Middle School")</f>
        <v>Lamar Middle School</v>
      </c>
      <c r="D302" s="10" t="str">
        <f ca="1">IFERROR(__xludf.DUMMYFUNCTION("""COMPUTED_VALUE"""),"MS")</f>
        <v>MS</v>
      </c>
      <c r="E302" s="10">
        <f ca="1">IFERROR(__xludf.DUMMYFUNCTION("""COMPUTED_VALUE"""),260)</f>
        <v>260</v>
      </c>
      <c r="F302" s="10">
        <f ca="1">IFERROR(__xludf.DUMMYFUNCTION("""COMPUTED_VALUE"""),6)</f>
        <v>6</v>
      </c>
      <c r="G302" s="10">
        <f ca="1">IFERROR(__xludf.DUMMYFUNCTION("""COMPUTED_VALUE"""),139)</f>
        <v>139</v>
      </c>
      <c r="H302" s="10">
        <f ca="1">IFERROR(__xludf.DUMMYFUNCTION("""COMPUTED_VALUE"""),121)</f>
        <v>121</v>
      </c>
    </row>
    <row r="303" spans="1:8">
      <c r="A303" s="9">
        <f ca="1">IFERROR(__xludf.DUMMYFUNCTION("""COMPUTED_VALUE"""),90006)</f>
        <v>90006</v>
      </c>
      <c r="B303" s="10" t="str">
        <f ca="1">IFERROR(__xludf.DUMMYFUNCTION("""COMPUTED_VALUE"""),"Ava Thompson")</f>
        <v>Ava Thompson</v>
      </c>
      <c r="C303" s="10" t="str">
        <f ca="1">IFERROR(__xludf.DUMMYFUNCTION("""COMPUTED_VALUE"""),"Lamar Middle School")</f>
        <v>Lamar Middle School</v>
      </c>
      <c r="D303" s="10" t="str">
        <f ca="1">IFERROR(__xludf.DUMMYFUNCTION("""COMPUTED_VALUE"""),"MS")</f>
        <v>MS</v>
      </c>
      <c r="E303" s="10">
        <f ca="1">IFERROR(__xludf.DUMMYFUNCTION("""COMPUTED_VALUE"""),262)</f>
        <v>262</v>
      </c>
      <c r="F303" s="10">
        <f ca="1">IFERROR(__xludf.DUMMYFUNCTION("""COMPUTED_VALUE"""),7)</f>
        <v>7</v>
      </c>
      <c r="G303" s="10">
        <f ca="1">IFERROR(__xludf.DUMMYFUNCTION("""COMPUTED_VALUE"""),138)</f>
        <v>138</v>
      </c>
      <c r="H303" s="10">
        <f ca="1">IFERROR(__xludf.DUMMYFUNCTION("""COMPUTED_VALUE"""),124)</f>
        <v>124</v>
      </c>
    </row>
    <row r="304" spans="1:8">
      <c r="A304" s="9">
        <f ca="1">IFERROR(__xludf.DUMMYFUNCTION("""COMPUTED_VALUE"""),90007)</f>
        <v>90007</v>
      </c>
      <c r="B304" s="10" t="str">
        <f ca="1">IFERROR(__xludf.DUMMYFUNCTION("""COMPUTED_VALUE"""),"Bailey Stewart")</f>
        <v>Bailey Stewart</v>
      </c>
      <c r="C304" s="10" t="str">
        <f ca="1">IFERROR(__xludf.DUMMYFUNCTION("""COMPUTED_VALUE"""),"Lamar Middle School")</f>
        <v>Lamar Middle School</v>
      </c>
      <c r="D304" s="10" t="str">
        <f ca="1">IFERROR(__xludf.DUMMYFUNCTION("""COMPUTED_VALUE"""),"MS")</f>
        <v>MS</v>
      </c>
      <c r="E304" s="10">
        <f ca="1">IFERROR(__xludf.DUMMYFUNCTION("""COMPUTED_VALUE"""),276)</f>
        <v>276</v>
      </c>
      <c r="F304" s="10">
        <f ca="1">IFERROR(__xludf.DUMMYFUNCTION("""COMPUTED_VALUE"""),12)</f>
        <v>12</v>
      </c>
      <c r="G304" s="10">
        <f ca="1">IFERROR(__xludf.DUMMYFUNCTION("""COMPUTED_VALUE"""),145)</f>
        <v>145</v>
      </c>
      <c r="H304" s="10">
        <f ca="1">IFERROR(__xludf.DUMMYFUNCTION("""COMPUTED_VALUE"""),131)</f>
        <v>131</v>
      </c>
    </row>
    <row r="305" spans="1:8">
      <c r="A305" s="9">
        <f ca="1">IFERROR(__xludf.DUMMYFUNCTION("""COMPUTED_VALUE"""),90008)</f>
        <v>90008</v>
      </c>
      <c r="B305" s="10" t="str">
        <f ca="1">IFERROR(__xludf.DUMMYFUNCTION("""COMPUTED_VALUE"""),"Bobby Latsha")</f>
        <v>Bobby Latsha</v>
      </c>
      <c r="C305" s="10" t="str">
        <f ca="1">IFERROR(__xludf.DUMMYFUNCTION("""COMPUTED_VALUE"""),"Lamar Middle School")</f>
        <v>Lamar Middle School</v>
      </c>
      <c r="D305" s="10" t="str">
        <f ca="1">IFERROR(__xludf.DUMMYFUNCTION("""COMPUTED_VALUE"""),"MS")</f>
        <v>MS</v>
      </c>
      <c r="E305" s="10">
        <f ca="1">IFERROR(__xludf.DUMMYFUNCTION("""COMPUTED_VALUE"""),274)</f>
        <v>274</v>
      </c>
      <c r="F305" s="10">
        <f ca="1">IFERROR(__xludf.DUMMYFUNCTION("""COMPUTED_VALUE"""),12)</f>
        <v>12</v>
      </c>
      <c r="G305" s="10">
        <f ca="1">IFERROR(__xludf.DUMMYFUNCTION("""COMPUTED_VALUE"""),142)</f>
        <v>142</v>
      </c>
      <c r="H305" s="10">
        <f ca="1">IFERROR(__xludf.DUMMYFUNCTION("""COMPUTED_VALUE"""),132)</f>
        <v>132</v>
      </c>
    </row>
    <row r="306" spans="1:8">
      <c r="A306" s="9">
        <f ca="1">IFERROR(__xludf.DUMMYFUNCTION("""COMPUTED_VALUE"""),90009)</f>
        <v>90009</v>
      </c>
      <c r="B306" s="10" t="str">
        <f ca="1">IFERROR(__xludf.DUMMYFUNCTION("""COMPUTED_VALUE"""),"Brendan McGrath")</f>
        <v>Brendan McGrath</v>
      </c>
      <c r="C306" s="10" t="str">
        <f ca="1">IFERROR(__xludf.DUMMYFUNCTION("""COMPUTED_VALUE"""),"Lamar Middle School")</f>
        <v>Lamar Middle School</v>
      </c>
      <c r="D306" s="10" t="str">
        <f ca="1">IFERROR(__xludf.DUMMYFUNCTION("""COMPUTED_VALUE"""),"MS")</f>
        <v>MS</v>
      </c>
      <c r="E306" s="10" t="str">
        <f ca="1">IFERROR(__xludf.DUMMYFUNCTION("""COMPUTED_VALUE"""),"Posting")</f>
        <v>Posting</v>
      </c>
      <c r="F306" s="10" t="str">
        <f ca="1">IFERROR(__xludf.DUMMYFUNCTION("""COMPUTED_VALUE"""),"Posting")</f>
        <v>Posting</v>
      </c>
      <c r="G306" s="10" t="str">
        <f ca="1">IFERROR(__xludf.DUMMYFUNCTION("""COMPUTED_VALUE"""),"Posting")</f>
        <v>Posting</v>
      </c>
      <c r="H306" s="10" t="str">
        <f ca="1">IFERROR(__xludf.DUMMYFUNCTION("""COMPUTED_VALUE"""),"Posting")</f>
        <v>Posting</v>
      </c>
    </row>
    <row r="307" spans="1:8">
      <c r="A307" s="9">
        <f ca="1">IFERROR(__xludf.DUMMYFUNCTION("""COMPUTED_VALUE"""),90011)</f>
        <v>90011</v>
      </c>
      <c r="B307" s="10" t="str">
        <f ca="1">IFERROR(__xludf.DUMMYFUNCTION("""COMPUTED_VALUE"""),"Campbell Schroeder")</f>
        <v>Campbell Schroeder</v>
      </c>
      <c r="C307" s="10" t="str">
        <f ca="1">IFERROR(__xludf.DUMMYFUNCTION("""COMPUTED_VALUE"""),"Lamar Middle School")</f>
        <v>Lamar Middle School</v>
      </c>
      <c r="D307" s="10" t="str">
        <f ca="1">IFERROR(__xludf.DUMMYFUNCTION("""COMPUTED_VALUE"""),"MS")</f>
        <v>MS</v>
      </c>
      <c r="E307" s="10" t="str">
        <f ca="1">IFERROR(__xludf.DUMMYFUNCTION("""COMPUTED_VALUE"""),"Posting")</f>
        <v>Posting</v>
      </c>
      <c r="F307" s="10" t="str">
        <f ca="1">IFERROR(__xludf.DUMMYFUNCTION("""COMPUTED_VALUE"""),"Posting")</f>
        <v>Posting</v>
      </c>
      <c r="G307" s="10" t="str">
        <f ca="1">IFERROR(__xludf.DUMMYFUNCTION("""COMPUTED_VALUE"""),"Posting")</f>
        <v>Posting</v>
      </c>
      <c r="H307" s="10" t="str">
        <f ca="1">IFERROR(__xludf.DUMMYFUNCTION("""COMPUTED_VALUE"""),"Posting")</f>
        <v>Posting</v>
      </c>
    </row>
    <row r="308" spans="1:8">
      <c r="A308" s="9">
        <f ca="1">IFERROR(__xludf.DUMMYFUNCTION("""COMPUTED_VALUE"""),90012)</f>
        <v>90012</v>
      </c>
      <c r="B308" s="10" t="str">
        <f ca="1">IFERROR(__xludf.DUMMYFUNCTION("""COMPUTED_VALUE"""),"Charley Shagrin")</f>
        <v>Charley Shagrin</v>
      </c>
      <c r="C308" s="10" t="str">
        <f ca="1">IFERROR(__xludf.DUMMYFUNCTION("""COMPUTED_VALUE"""),"Lamar Middle School")</f>
        <v>Lamar Middle School</v>
      </c>
      <c r="D308" s="10" t="str">
        <f ca="1">IFERROR(__xludf.DUMMYFUNCTION("""COMPUTED_VALUE"""),"MS")</f>
        <v>MS</v>
      </c>
      <c r="E308" s="10">
        <f ca="1">IFERROR(__xludf.DUMMYFUNCTION("""COMPUTED_VALUE"""),244)</f>
        <v>244</v>
      </c>
      <c r="F308" s="10">
        <f ca="1">IFERROR(__xludf.DUMMYFUNCTION("""COMPUTED_VALUE"""),4)</f>
        <v>4</v>
      </c>
      <c r="G308" s="10">
        <f ca="1">IFERROR(__xludf.DUMMYFUNCTION("""COMPUTED_VALUE"""),133)</f>
        <v>133</v>
      </c>
      <c r="H308" s="10">
        <f ca="1">IFERROR(__xludf.DUMMYFUNCTION("""COMPUTED_VALUE"""),111)</f>
        <v>111</v>
      </c>
    </row>
    <row r="309" spans="1:8">
      <c r="A309" s="9">
        <f ca="1">IFERROR(__xludf.DUMMYFUNCTION("""COMPUTED_VALUE"""),90013)</f>
        <v>90013</v>
      </c>
      <c r="B309" s="10" t="str">
        <f ca="1">IFERROR(__xludf.DUMMYFUNCTION("""COMPUTED_VALUE"""),"Conrad Johnson")</f>
        <v>Conrad Johnson</v>
      </c>
      <c r="C309" s="10" t="str">
        <f ca="1">IFERROR(__xludf.DUMMYFUNCTION("""COMPUTED_VALUE"""),"Lamar Middle School")</f>
        <v>Lamar Middle School</v>
      </c>
      <c r="D309" s="10" t="str">
        <f ca="1">IFERROR(__xludf.DUMMYFUNCTION("""COMPUTED_VALUE"""),"MS")</f>
        <v>MS</v>
      </c>
      <c r="E309" s="10">
        <f ca="1">IFERROR(__xludf.DUMMYFUNCTION("""COMPUTED_VALUE"""),250)</f>
        <v>250</v>
      </c>
      <c r="F309" s="10">
        <f ca="1">IFERROR(__xludf.DUMMYFUNCTION("""COMPUTED_VALUE"""),4)</f>
        <v>4</v>
      </c>
      <c r="G309" s="10">
        <f ca="1">IFERROR(__xludf.DUMMYFUNCTION("""COMPUTED_VALUE"""),135)</f>
        <v>135</v>
      </c>
      <c r="H309" s="10">
        <f ca="1">IFERROR(__xludf.DUMMYFUNCTION("""COMPUTED_VALUE"""),115)</f>
        <v>115</v>
      </c>
    </row>
    <row r="310" spans="1:8">
      <c r="A310" s="9">
        <f ca="1">IFERROR(__xludf.DUMMYFUNCTION("""COMPUTED_VALUE"""),90014)</f>
        <v>90014</v>
      </c>
      <c r="B310" s="10" t="str">
        <f ca="1">IFERROR(__xludf.DUMMYFUNCTION("""COMPUTED_VALUE"""),"Dylan Lopez")</f>
        <v>Dylan Lopez</v>
      </c>
      <c r="C310" s="10" t="str">
        <f ca="1">IFERROR(__xludf.DUMMYFUNCTION("""COMPUTED_VALUE"""),"Lamar Middle School")</f>
        <v>Lamar Middle School</v>
      </c>
      <c r="D310" s="10" t="str">
        <f ca="1">IFERROR(__xludf.DUMMYFUNCTION("""COMPUTED_VALUE"""),"MS")</f>
        <v>MS</v>
      </c>
      <c r="E310" s="10">
        <f ca="1">IFERROR(__xludf.DUMMYFUNCTION("""COMPUTED_VALUE"""),270)</f>
        <v>270</v>
      </c>
      <c r="F310" s="10">
        <f ca="1">IFERROR(__xludf.DUMMYFUNCTION("""COMPUTED_VALUE"""),9)</f>
        <v>9</v>
      </c>
      <c r="G310" s="10">
        <f ca="1">IFERROR(__xludf.DUMMYFUNCTION("""COMPUTED_VALUE"""),139)</f>
        <v>139</v>
      </c>
      <c r="H310" s="10">
        <f ca="1">IFERROR(__xludf.DUMMYFUNCTION("""COMPUTED_VALUE"""),131)</f>
        <v>131</v>
      </c>
    </row>
    <row r="311" spans="1:8">
      <c r="A311" s="9">
        <f ca="1">IFERROR(__xludf.DUMMYFUNCTION("""COMPUTED_VALUE"""),90015)</f>
        <v>90015</v>
      </c>
      <c r="B311" s="10" t="str">
        <f ca="1">IFERROR(__xludf.DUMMYFUNCTION("""COMPUTED_VALUE"""),"Elias Combee")</f>
        <v>Elias Combee</v>
      </c>
      <c r="C311" s="10" t="str">
        <f ca="1">IFERROR(__xludf.DUMMYFUNCTION("""COMPUTED_VALUE"""),"Lamar Middle School")</f>
        <v>Lamar Middle School</v>
      </c>
      <c r="D311" s="10" t="str">
        <f ca="1">IFERROR(__xludf.DUMMYFUNCTION("""COMPUTED_VALUE"""),"MS")</f>
        <v>MS</v>
      </c>
      <c r="E311" s="10">
        <f ca="1">IFERROR(__xludf.DUMMYFUNCTION("""COMPUTED_VALUE"""),139)</f>
        <v>139</v>
      </c>
      <c r="F311" s="10">
        <f ca="1">IFERROR(__xludf.DUMMYFUNCTION("""COMPUTED_VALUE"""),2)</f>
        <v>2</v>
      </c>
      <c r="G311" s="10">
        <f ca="1">IFERROR(__xludf.DUMMYFUNCTION("""COMPUTED_VALUE"""),42)</f>
        <v>42</v>
      </c>
      <c r="H311" s="10">
        <f ca="1">IFERROR(__xludf.DUMMYFUNCTION("""COMPUTED_VALUE"""),97)</f>
        <v>97</v>
      </c>
    </row>
    <row r="312" spans="1:8">
      <c r="A312" s="9">
        <f ca="1">IFERROR(__xludf.DUMMYFUNCTION("""COMPUTED_VALUE"""),90016)</f>
        <v>90016</v>
      </c>
      <c r="B312" s="10" t="str">
        <f ca="1">IFERROR(__xludf.DUMMYFUNCTION("""COMPUTED_VALUE"""),"Elliott Keith")</f>
        <v>Elliott Keith</v>
      </c>
      <c r="C312" s="10" t="str">
        <f ca="1">IFERROR(__xludf.DUMMYFUNCTION("""COMPUTED_VALUE"""),"Lamar Middle School")</f>
        <v>Lamar Middle School</v>
      </c>
      <c r="D312" s="10" t="str">
        <f ca="1">IFERROR(__xludf.DUMMYFUNCTION("""COMPUTED_VALUE"""),"MS")</f>
        <v>MS</v>
      </c>
      <c r="E312" s="10">
        <f ca="1">IFERROR(__xludf.DUMMYFUNCTION("""COMPUTED_VALUE"""),259)</f>
        <v>259</v>
      </c>
      <c r="F312" s="10">
        <f ca="1">IFERROR(__xludf.DUMMYFUNCTION("""COMPUTED_VALUE"""),8)</f>
        <v>8</v>
      </c>
      <c r="G312" s="10">
        <f ca="1">IFERROR(__xludf.DUMMYFUNCTION("""COMPUTED_VALUE"""),140)</f>
        <v>140</v>
      </c>
      <c r="H312" s="10">
        <f ca="1">IFERROR(__xludf.DUMMYFUNCTION("""COMPUTED_VALUE"""),119)</f>
        <v>119</v>
      </c>
    </row>
    <row r="313" spans="1:8">
      <c r="A313" s="9">
        <f ca="1">IFERROR(__xludf.DUMMYFUNCTION("""COMPUTED_VALUE"""),90017)</f>
        <v>90017</v>
      </c>
      <c r="B313" s="10" t="str">
        <f ca="1">IFERROR(__xludf.DUMMYFUNCTION("""COMPUTED_VALUE"""),"Emerson Bedrosian")</f>
        <v>Emerson Bedrosian</v>
      </c>
      <c r="C313" s="10" t="str">
        <f ca="1">IFERROR(__xludf.DUMMYFUNCTION("""COMPUTED_VALUE"""),"Lamar Middle School")</f>
        <v>Lamar Middle School</v>
      </c>
      <c r="D313" s="10" t="str">
        <f ca="1">IFERROR(__xludf.DUMMYFUNCTION("""COMPUTED_VALUE"""),"MS")</f>
        <v>MS</v>
      </c>
      <c r="E313" s="10">
        <f ca="1">IFERROR(__xludf.DUMMYFUNCTION("""COMPUTED_VALUE"""),242)</f>
        <v>242</v>
      </c>
      <c r="F313" s="10">
        <f ca="1">IFERROR(__xludf.DUMMYFUNCTION("""COMPUTED_VALUE"""),1)</f>
        <v>1</v>
      </c>
      <c r="G313" s="10">
        <f ca="1">IFERROR(__xludf.DUMMYFUNCTION("""COMPUTED_VALUE"""),129)</f>
        <v>129</v>
      </c>
      <c r="H313" s="10">
        <f ca="1">IFERROR(__xludf.DUMMYFUNCTION("""COMPUTED_VALUE"""),113)</f>
        <v>113</v>
      </c>
    </row>
    <row r="314" spans="1:8">
      <c r="A314" s="9">
        <f ca="1">IFERROR(__xludf.DUMMYFUNCTION("""COMPUTED_VALUE"""),90018)</f>
        <v>90018</v>
      </c>
      <c r="B314" s="10" t="str">
        <f ca="1">IFERROR(__xludf.DUMMYFUNCTION("""COMPUTED_VALUE"""),"Finley Tracy")</f>
        <v>Finley Tracy</v>
      </c>
      <c r="C314" s="10" t="str">
        <f ca="1">IFERROR(__xludf.DUMMYFUNCTION("""COMPUTED_VALUE"""),"Lamar Middle School")</f>
        <v>Lamar Middle School</v>
      </c>
      <c r="D314" s="10" t="str">
        <f ca="1">IFERROR(__xludf.DUMMYFUNCTION("""COMPUTED_VALUE"""),"MS")</f>
        <v>MS</v>
      </c>
      <c r="E314" s="10">
        <f ca="1">IFERROR(__xludf.DUMMYFUNCTION("""COMPUTED_VALUE"""),287)</f>
        <v>287</v>
      </c>
      <c r="F314" s="10">
        <f ca="1">IFERROR(__xludf.DUMMYFUNCTION("""COMPUTED_VALUE"""),18)</f>
        <v>18</v>
      </c>
      <c r="G314" s="10">
        <f ca="1">IFERROR(__xludf.DUMMYFUNCTION("""COMPUTED_VALUE"""),146)</f>
        <v>146</v>
      </c>
      <c r="H314" s="10">
        <f ca="1">IFERROR(__xludf.DUMMYFUNCTION("""COMPUTED_VALUE"""),141)</f>
        <v>141</v>
      </c>
    </row>
    <row r="315" spans="1:8">
      <c r="A315" s="9">
        <f ca="1">IFERROR(__xludf.DUMMYFUNCTION("""COMPUTED_VALUE"""),90019)</f>
        <v>90019</v>
      </c>
      <c r="B315" s="10" t="str">
        <f ca="1">IFERROR(__xludf.DUMMYFUNCTION("""COMPUTED_VALUE"""),"Geraint House")</f>
        <v>Geraint House</v>
      </c>
      <c r="C315" s="10" t="str">
        <f ca="1">IFERROR(__xludf.DUMMYFUNCTION("""COMPUTED_VALUE"""),"Lamar Middle School")</f>
        <v>Lamar Middle School</v>
      </c>
      <c r="D315" s="10" t="str">
        <f ca="1">IFERROR(__xludf.DUMMYFUNCTION("""COMPUTED_VALUE"""),"MS")</f>
        <v>MS</v>
      </c>
      <c r="E315" s="10">
        <f ca="1">IFERROR(__xludf.DUMMYFUNCTION("""COMPUTED_VALUE"""),250)</f>
        <v>250</v>
      </c>
      <c r="F315" s="10">
        <f ca="1">IFERROR(__xludf.DUMMYFUNCTION("""COMPUTED_VALUE"""),7)</f>
        <v>7</v>
      </c>
      <c r="G315" s="10">
        <f ca="1">IFERROR(__xludf.DUMMYFUNCTION("""COMPUTED_VALUE"""),134)</f>
        <v>134</v>
      </c>
      <c r="H315" s="10">
        <f ca="1">IFERROR(__xludf.DUMMYFUNCTION("""COMPUTED_VALUE"""),116)</f>
        <v>116</v>
      </c>
    </row>
    <row r="316" spans="1:8">
      <c r="A316" s="9">
        <f ca="1">IFERROR(__xludf.DUMMYFUNCTION("""COMPUTED_VALUE"""),90020)</f>
        <v>90020</v>
      </c>
      <c r="B316" s="10" t="str">
        <f ca="1">IFERROR(__xludf.DUMMYFUNCTION("""COMPUTED_VALUE"""),"Hamad Al sawalma")</f>
        <v>Hamad Al sawalma</v>
      </c>
      <c r="C316" s="10" t="str">
        <f ca="1">IFERROR(__xludf.DUMMYFUNCTION("""COMPUTED_VALUE"""),"Lamar Middle School")</f>
        <v>Lamar Middle School</v>
      </c>
      <c r="D316" s="10" t="str">
        <f ca="1">IFERROR(__xludf.DUMMYFUNCTION("""COMPUTED_VALUE"""),"MS")</f>
        <v>MS</v>
      </c>
      <c r="E316" s="10">
        <f ca="1">IFERROR(__xludf.DUMMYFUNCTION("""COMPUTED_VALUE"""),202)</f>
        <v>202</v>
      </c>
      <c r="F316" s="10">
        <f ca="1">IFERROR(__xludf.DUMMYFUNCTION("""COMPUTED_VALUE"""),2)</f>
        <v>2</v>
      </c>
      <c r="G316" s="10">
        <f ca="1">IFERROR(__xludf.DUMMYFUNCTION("""COMPUTED_VALUE"""),110)</f>
        <v>110</v>
      </c>
      <c r="H316" s="10">
        <f ca="1">IFERROR(__xludf.DUMMYFUNCTION("""COMPUTED_VALUE"""),92)</f>
        <v>92</v>
      </c>
    </row>
    <row r="317" spans="1:8">
      <c r="A317" s="9">
        <f ca="1">IFERROR(__xludf.DUMMYFUNCTION("""COMPUTED_VALUE"""),90021)</f>
        <v>90021</v>
      </c>
      <c r="B317" s="10" t="str">
        <f ca="1">IFERROR(__xludf.DUMMYFUNCTION("""COMPUTED_VALUE"""),"Henry Brabham")</f>
        <v>Henry Brabham</v>
      </c>
      <c r="C317" s="10" t="str">
        <f ca="1">IFERROR(__xludf.DUMMYFUNCTION("""COMPUTED_VALUE"""),"Lamar Middle School")</f>
        <v>Lamar Middle School</v>
      </c>
      <c r="D317" s="10" t="str">
        <f ca="1">IFERROR(__xludf.DUMMYFUNCTION("""COMPUTED_VALUE"""),"MS")</f>
        <v>MS</v>
      </c>
      <c r="E317" s="10">
        <f ca="1">IFERROR(__xludf.DUMMYFUNCTION("""COMPUTED_VALUE"""),199)</f>
        <v>199</v>
      </c>
      <c r="F317" s="10">
        <f ca="1">IFERROR(__xludf.DUMMYFUNCTION("""COMPUTED_VALUE"""),2)</f>
        <v>2</v>
      </c>
      <c r="G317" s="10">
        <f ca="1">IFERROR(__xludf.DUMMYFUNCTION("""COMPUTED_VALUE"""),112)</f>
        <v>112</v>
      </c>
      <c r="H317" s="10">
        <f ca="1">IFERROR(__xludf.DUMMYFUNCTION("""COMPUTED_VALUE"""),87)</f>
        <v>87</v>
      </c>
    </row>
    <row r="318" spans="1:8">
      <c r="A318" s="9">
        <f ca="1">IFERROR(__xludf.DUMMYFUNCTION("""COMPUTED_VALUE"""),90022)</f>
        <v>90022</v>
      </c>
      <c r="B318" s="10" t="str">
        <f ca="1">IFERROR(__xludf.DUMMYFUNCTION("""COMPUTED_VALUE"""),"Jack DeShazo")</f>
        <v>Jack DeShazo</v>
      </c>
      <c r="C318" s="10" t="str">
        <f ca="1">IFERROR(__xludf.DUMMYFUNCTION("""COMPUTED_VALUE"""),"Lamar Middle School")</f>
        <v>Lamar Middle School</v>
      </c>
      <c r="D318" s="10" t="str">
        <f ca="1">IFERROR(__xludf.DUMMYFUNCTION("""COMPUTED_VALUE"""),"MS")</f>
        <v>MS</v>
      </c>
      <c r="E318" s="10" t="str">
        <f ca="1">IFERROR(__xludf.DUMMYFUNCTION("""COMPUTED_VALUE"""),"Posting")</f>
        <v>Posting</v>
      </c>
      <c r="F318" s="10" t="str">
        <f ca="1">IFERROR(__xludf.DUMMYFUNCTION("""COMPUTED_VALUE"""),"Posting")</f>
        <v>Posting</v>
      </c>
      <c r="G318" s="10" t="str">
        <f ca="1">IFERROR(__xludf.DUMMYFUNCTION("""COMPUTED_VALUE"""),"Posting")</f>
        <v>Posting</v>
      </c>
      <c r="H318" s="10" t="str">
        <f ca="1">IFERROR(__xludf.DUMMYFUNCTION("""COMPUTED_VALUE"""),"Posting")</f>
        <v>Posting</v>
      </c>
    </row>
    <row r="319" spans="1:8">
      <c r="A319" s="9">
        <f ca="1">IFERROR(__xludf.DUMMYFUNCTION("""COMPUTED_VALUE"""),90023)</f>
        <v>90023</v>
      </c>
      <c r="B319" s="10" t="str">
        <f ca="1">IFERROR(__xludf.DUMMYFUNCTION("""COMPUTED_VALUE"""),"Jane Pirkl")</f>
        <v>Jane Pirkl</v>
      </c>
      <c r="C319" s="10" t="str">
        <f ca="1">IFERROR(__xludf.DUMMYFUNCTION("""COMPUTED_VALUE"""),"Lamar Middle School")</f>
        <v>Lamar Middle School</v>
      </c>
      <c r="D319" s="10" t="str">
        <f ca="1">IFERROR(__xludf.DUMMYFUNCTION("""COMPUTED_VALUE"""),"MS")</f>
        <v>MS</v>
      </c>
      <c r="E319" s="10">
        <f ca="1">IFERROR(__xludf.DUMMYFUNCTION("""COMPUTED_VALUE"""),261)</f>
        <v>261</v>
      </c>
      <c r="F319" s="10">
        <f ca="1">IFERROR(__xludf.DUMMYFUNCTION("""COMPUTED_VALUE"""),8)</f>
        <v>8</v>
      </c>
      <c r="G319" s="10">
        <f ca="1">IFERROR(__xludf.DUMMYFUNCTION("""COMPUTED_VALUE"""),138)</f>
        <v>138</v>
      </c>
      <c r="H319" s="10">
        <f ca="1">IFERROR(__xludf.DUMMYFUNCTION("""COMPUTED_VALUE"""),123)</f>
        <v>123</v>
      </c>
    </row>
    <row r="320" spans="1:8">
      <c r="A320" s="9">
        <f ca="1">IFERROR(__xludf.DUMMYFUNCTION("""COMPUTED_VALUE"""),90024)</f>
        <v>90024</v>
      </c>
      <c r="B320" s="10" t="str">
        <f ca="1">IFERROR(__xludf.DUMMYFUNCTION("""COMPUTED_VALUE"""),"Joseph Monahan")</f>
        <v>Joseph Monahan</v>
      </c>
      <c r="C320" s="10" t="str">
        <f ca="1">IFERROR(__xludf.DUMMYFUNCTION("""COMPUTED_VALUE"""),"Lamar Middle School")</f>
        <v>Lamar Middle School</v>
      </c>
      <c r="D320" s="10" t="str">
        <f ca="1">IFERROR(__xludf.DUMMYFUNCTION("""COMPUTED_VALUE"""),"MS")</f>
        <v>MS</v>
      </c>
      <c r="E320" s="10" t="str">
        <f ca="1">IFERROR(__xludf.DUMMYFUNCTION("""COMPUTED_VALUE"""),"Posting")</f>
        <v>Posting</v>
      </c>
      <c r="F320" s="10" t="str">
        <f ca="1">IFERROR(__xludf.DUMMYFUNCTION("""COMPUTED_VALUE"""),"Posting")</f>
        <v>Posting</v>
      </c>
      <c r="G320" s="10" t="str">
        <f ca="1">IFERROR(__xludf.DUMMYFUNCTION("""COMPUTED_VALUE"""),"Posting")</f>
        <v>Posting</v>
      </c>
      <c r="H320" s="10" t="str">
        <f ca="1">IFERROR(__xludf.DUMMYFUNCTION("""COMPUTED_VALUE"""),"Posting")</f>
        <v>Posting</v>
      </c>
    </row>
    <row r="321" spans="1:8">
      <c r="A321" s="9">
        <f ca="1">IFERROR(__xludf.DUMMYFUNCTION("""COMPUTED_VALUE"""),90025)</f>
        <v>90025</v>
      </c>
      <c r="B321" s="10" t="str">
        <f ca="1">IFERROR(__xludf.DUMMYFUNCTION("""COMPUTED_VALUE"""),"Julian Saenz")</f>
        <v>Julian Saenz</v>
      </c>
      <c r="C321" s="10" t="str">
        <f ca="1">IFERROR(__xludf.DUMMYFUNCTION("""COMPUTED_VALUE"""),"Lamar Middle School")</f>
        <v>Lamar Middle School</v>
      </c>
      <c r="D321" s="10" t="str">
        <f ca="1">IFERROR(__xludf.DUMMYFUNCTION("""COMPUTED_VALUE"""),"MS")</f>
        <v>MS</v>
      </c>
      <c r="E321" s="10">
        <f ca="1">IFERROR(__xludf.DUMMYFUNCTION("""COMPUTED_VALUE"""),201)</f>
        <v>201</v>
      </c>
      <c r="F321" s="10">
        <f ca="1">IFERROR(__xludf.DUMMYFUNCTION("""COMPUTED_VALUE"""),3)</f>
        <v>3</v>
      </c>
      <c r="G321" s="10">
        <f ca="1">IFERROR(__xludf.DUMMYFUNCTION("""COMPUTED_VALUE"""),123)</f>
        <v>123</v>
      </c>
      <c r="H321" s="10">
        <f ca="1">IFERROR(__xludf.DUMMYFUNCTION("""COMPUTED_VALUE"""),78)</f>
        <v>78</v>
      </c>
    </row>
    <row r="322" spans="1:8">
      <c r="A322" s="9">
        <f ca="1">IFERROR(__xludf.DUMMYFUNCTION("""COMPUTED_VALUE"""),90026)</f>
        <v>90026</v>
      </c>
      <c r="B322" s="10" t="str">
        <f ca="1">IFERROR(__xludf.DUMMYFUNCTION("""COMPUTED_VALUE"""),"Kaylin Kumar")</f>
        <v>Kaylin Kumar</v>
      </c>
      <c r="C322" s="10" t="str">
        <f ca="1">IFERROR(__xludf.DUMMYFUNCTION("""COMPUTED_VALUE"""),"Lamar Middle School")</f>
        <v>Lamar Middle School</v>
      </c>
      <c r="D322" s="10" t="str">
        <f ca="1">IFERROR(__xludf.DUMMYFUNCTION("""COMPUTED_VALUE"""),"MS")</f>
        <v>MS</v>
      </c>
      <c r="E322" s="10">
        <f ca="1">IFERROR(__xludf.DUMMYFUNCTION("""COMPUTED_VALUE"""),251)</f>
        <v>251</v>
      </c>
      <c r="F322" s="10">
        <f ca="1">IFERROR(__xludf.DUMMYFUNCTION("""COMPUTED_VALUE"""),8)</f>
        <v>8</v>
      </c>
      <c r="G322" s="10">
        <f ca="1">IFERROR(__xludf.DUMMYFUNCTION("""COMPUTED_VALUE"""),139)</f>
        <v>139</v>
      </c>
      <c r="H322" s="10">
        <f ca="1">IFERROR(__xludf.DUMMYFUNCTION("""COMPUTED_VALUE"""),112)</f>
        <v>112</v>
      </c>
    </row>
    <row r="323" spans="1:8">
      <c r="A323" s="9">
        <f ca="1">IFERROR(__xludf.DUMMYFUNCTION("""COMPUTED_VALUE"""),90027)</f>
        <v>90027</v>
      </c>
      <c r="B323" s="10" t="str">
        <f ca="1">IFERROR(__xludf.DUMMYFUNCTION("""COMPUTED_VALUE"""),"Linden Reddam")</f>
        <v>Linden Reddam</v>
      </c>
      <c r="C323" s="10" t="str">
        <f ca="1">IFERROR(__xludf.DUMMYFUNCTION("""COMPUTED_VALUE"""),"Lamar Middle School")</f>
        <v>Lamar Middle School</v>
      </c>
      <c r="D323" s="10" t="str">
        <f ca="1">IFERROR(__xludf.DUMMYFUNCTION("""COMPUTED_VALUE"""),"MS")</f>
        <v>MS</v>
      </c>
      <c r="E323" s="10">
        <f ca="1">IFERROR(__xludf.DUMMYFUNCTION("""COMPUTED_VALUE"""),251)</f>
        <v>251</v>
      </c>
      <c r="F323" s="10">
        <f ca="1">IFERROR(__xludf.DUMMYFUNCTION("""COMPUTED_VALUE"""),6)</f>
        <v>6</v>
      </c>
      <c r="G323" s="10">
        <f ca="1">IFERROR(__xludf.DUMMYFUNCTION("""COMPUTED_VALUE"""),136)</f>
        <v>136</v>
      </c>
      <c r="H323" s="10">
        <f ca="1">IFERROR(__xludf.DUMMYFUNCTION("""COMPUTED_VALUE"""),115)</f>
        <v>115</v>
      </c>
    </row>
    <row r="324" spans="1:8">
      <c r="A324" s="9">
        <f ca="1">IFERROR(__xludf.DUMMYFUNCTION("""COMPUTED_VALUE"""),90028)</f>
        <v>90028</v>
      </c>
      <c r="B324" s="10" t="str">
        <f ca="1">IFERROR(__xludf.DUMMYFUNCTION("""COMPUTED_VALUE"""),"Lucy Wolff")</f>
        <v>Lucy Wolff</v>
      </c>
      <c r="C324" s="10" t="str">
        <f ca="1">IFERROR(__xludf.DUMMYFUNCTION("""COMPUTED_VALUE"""),"Lamar Middle School")</f>
        <v>Lamar Middle School</v>
      </c>
      <c r="D324" s="10" t="str">
        <f ca="1">IFERROR(__xludf.DUMMYFUNCTION("""COMPUTED_VALUE"""),"MS")</f>
        <v>MS</v>
      </c>
      <c r="E324" s="10">
        <f ca="1">IFERROR(__xludf.DUMMYFUNCTION("""COMPUTED_VALUE"""),261)</f>
        <v>261</v>
      </c>
      <c r="F324" s="10">
        <f ca="1">IFERROR(__xludf.DUMMYFUNCTION("""COMPUTED_VALUE"""),7)</f>
        <v>7</v>
      </c>
      <c r="G324" s="10">
        <f ca="1">IFERROR(__xludf.DUMMYFUNCTION("""COMPUTED_VALUE"""),139)</f>
        <v>139</v>
      </c>
      <c r="H324" s="10">
        <f ca="1">IFERROR(__xludf.DUMMYFUNCTION("""COMPUTED_VALUE"""),122)</f>
        <v>122</v>
      </c>
    </row>
    <row r="325" spans="1:8">
      <c r="A325" s="9">
        <f ca="1">IFERROR(__xludf.DUMMYFUNCTION("""COMPUTED_VALUE"""),90029)</f>
        <v>90029</v>
      </c>
      <c r="B325" s="10" t="str">
        <f ca="1">IFERROR(__xludf.DUMMYFUNCTION("""COMPUTED_VALUE"""),"Madeline Forbes")</f>
        <v>Madeline Forbes</v>
      </c>
      <c r="C325" s="10" t="str">
        <f ca="1">IFERROR(__xludf.DUMMYFUNCTION("""COMPUTED_VALUE"""),"Lamar Middle School")</f>
        <v>Lamar Middle School</v>
      </c>
      <c r="D325" s="10" t="str">
        <f ca="1">IFERROR(__xludf.DUMMYFUNCTION("""COMPUTED_VALUE"""),"MS")</f>
        <v>MS</v>
      </c>
      <c r="E325" s="10">
        <f ca="1">IFERROR(__xludf.DUMMYFUNCTION("""COMPUTED_VALUE"""),247)</f>
        <v>247</v>
      </c>
      <c r="F325" s="10">
        <f ca="1">IFERROR(__xludf.DUMMYFUNCTION("""COMPUTED_VALUE"""),6)</f>
        <v>6</v>
      </c>
      <c r="G325" s="10">
        <f ca="1">IFERROR(__xludf.DUMMYFUNCTION("""COMPUTED_VALUE"""),136)</f>
        <v>136</v>
      </c>
      <c r="H325" s="10">
        <f ca="1">IFERROR(__xludf.DUMMYFUNCTION("""COMPUTED_VALUE"""),111)</f>
        <v>111</v>
      </c>
    </row>
    <row r="326" spans="1:8">
      <c r="A326" s="9">
        <f ca="1">IFERROR(__xludf.DUMMYFUNCTION("""COMPUTED_VALUE"""),90030)</f>
        <v>90030</v>
      </c>
      <c r="B326" s="10" t="str">
        <f ca="1">IFERROR(__xludf.DUMMYFUNCTION("""COMPUTED_VALUE"""),"Matthew Eaves")</f>
        <v>Matthew Eaves</v>
      </c>
      <c r="C326" s="10" t="str">
        <f ca="1">IFERROR(__xludf.DUMMYFUNCTION("""COMPUTED_VALUE"""),"Lamar Middle School")</f>
        <v>Lamar Middle School</v>
      </c>
      <c r="D326" s="10" t="str">
        <f ca="1">IFERROR(__xludf.DUMMYFUNCTION("""COMPUTED_VALUE"""),"MS")</f>
        <v>MS</v>
      </c>
      <c r="E326" s="10">
        <f ca="1">IFERROR(__xludf.DUMMYFUNCTION("""COMPUTED_VALUE"""),277)</f>
        <v>277</v>
      </c>
      <c r="F326" s="10">
        <f ca="1">IFERROR(__xludf.DUMMYFUNCTION("""COMPUTED_VALUE"""),12)</f>
        <v>12</v>
      </c>
      <c r="G326" s="10">
        <f ca="1">IFERROR(__xludf.DUMMYFUNCTION("""COMPUTED_VALUE"""),143)</f>
        <v>143</v>
      </c>
      <c r="H326" s="10">
        <f ca="1">IFERROR(__xludf.DUMMYFUNCTION("""COMPUTED_VALUE"""),134)</f>
        <v>134</v>
      </c>
    </row>
    <row r="327" spans="1:8">
      <c r="A327" s="9">
        <f ca="1">IFERROR(__xludf.DUMMYFUNCTION("""COMPUTED_VALUE"""),90031)</f>
        <v>90031</v>
      </c>
      <c r="B327" s="10" t="str">
        <f ca="1">IFERROR(__xludf.DUMMYFUNCTION("""COMPUTED_VALUE"""),"Mia Alcorta")</f>
        <v>Mia Alcorta</v>
      </c>
      <c r="C327" s="10" t="str">
        <f ca="1">IFERROR(__xludf.DUMMYFUNCTION("""COMPUTED_VALUE"""),"Lamar Middle School")</f>
        <v>Lamar Middle School</v>
      </c>
      <c r="D327" s="10" t="str">
        <f ca="1">IFERROR(__xludf.DUMMYFUNCTION("""COMPUTED_VALUE"""),"MS")</f>
        <v>MS</v>
      </c>
      <c r="E327" s="10">
        <f ca="1">IFERROR(__xludf.DUMMYFUNCTION("""COMPUTED_VALUE"""),248)</f>
        <v>248</v>
      </c>
      <c r="F327" s="10">
        <f ca="1">IFERROR(__xludf.DUMMYFUNCTION("""COMPUTED_VALUE"""),7)</f>
        <v>7</v>
      </c>
      <c r="G327" s="10">
        <f ca="1">IFERROR(__xludf.DUMMYFUNCTION("""COMPUTED_VALUE"""),123)</f>
        <v>123</v>
      </c>
      <c r="H327" s="10">
        <f ca="1">IFERROR(__xludf.DUMMYFUNCTION("""COMPUTED_VALUE"""),125)</f>
        <v>125</v>
      </c>
    </row>
    <row r="328" spans="1:8">
      <c r="A328" s="9">
        <f ca="1">IFERROR(__xludf.DUMMYFUNCTION("""COMPUTED_VALUE"""),90032)</f>
        <v>90032</v>
      </c>
      <c r="B328" s="10" t="str">
        <f ca="1">IFERROR(__xludf.DUMMYFUNCTION("""COMPUTED_VALUE"""),"Milo McHenry")</f>
        <v>Milo McHenry</v>
      </c>
      <c r="C328" s="10" t="str">
        <f ca="1">IFERROR(__xludf.DUMMYFUNCTION("""COMPUTED_VALUE"""),"Lamar Middle School")</f>
        <v>Lamar Middle School</v>
      </c>
      <c r="D328" s="10" t="str">
        <f ca="1">IFERROR(__xludf.DUMMYFUNCTION("""COMPUTED_VALUE"""),"MS")</f>
        <v>MS</v>
      </c>
      <c r="E328" s="10">
        <f ca="1">IFERROR(__xludf.DUMMYFUNCTION("""COMPUTED_VALUE"""),233)</f>
        <v>233</v>
      </c>
      <c r="F328" s="10">
        <f ca="1">IFERROR(__xludf.DUMMYFUNCTION("""COMPUTED_VALUE"""),7)</f>
        <v>7</v>
      </c>
      <c r="G328" s="10">
        <f ca="1">IFERROR(__xludf.DUMMYFUNCTION("""COMPUTED_VALUE"""),135)</f>
        <v>135</v>
      </c>
      <c r="H328" s="10">
        <f ca="1">IFERROR(__xludf.DUMMYFUNCTION("""COMPUTED_VALUE"""),98)</f>
        <v>98</v>
      </c>
    </row>
    <row r="329" spans="1:8">
      <c r="A329" s="9">
        <f ca="1">IFERROR(__xludf.DUMMYFUNCTION("""COMPUTED_VALUE"""),90033)</f>
        <v>90033</v>
      </c>
      <c r="B329" s="10" t="str">
        <f ca="1">IFERROR(__xludf.DUMMYFUNCTION("""COMPUTED_VALUE"""),"Ogden Wyman")</f>
        <v>Ogden Wyman</v>
      </c>
      <c r="C329" s="10" t="str">
        <f ca="1">IFERROR(__xludf.DUMMYFUNCTION("""COMPUTED_VALUE"""),"Lamar Middle School")</f>
        <v>Lamar Middle School</v>
      </c>
      <c r="D329" s="10" t="str">
        <f ca="1">IFERROR(__xludf.DUMMYFUNCTION("""COMPUTED_VALUE"""),"MS")</f>
        <v>MS</v>
      </c>
      <c r="E329" s="10">
        <f ca="1">IFERROR(__xludf.DUMMYFUNCTION("""COMPUTED_VALUE"""),260)</f>
        <v>260</v>
      </c>
      <c r="F329" s="10">
        <f ca="1">IFERROR(__xludf.DUMMYFUNCTION("""COMPUTED_VALUE"""),5)</f>
        <v>5</v>
      </c>
      <c r="G329" s="10">
        <f ca="1">IFERROR(__xludf.DUMMYFUNCTION("""COMPUTED_VALUE"""),137)</f>
        <v>137</v>
      </c>
      <c r="H329" s="10">
        <f ca="1">IFERROR(__xludf.DUMMYFUNCTION("""COMPUTED_VALUE"""),123)</f>
        <v>123</v>
      </c>
    </row>
    <row r="330" spans="1:8">
      <c r="A330" s="9">
        <f ca="1">IFERROR(__xludf.DUMMYFUNCTION("""COMPUTED_VALUE"""),90034)</f>
        <v>90034</v>
      </c>
      <c r="B330" s="10" t="str">
        <f ca="1">IFERROR(__xludf.DUMMYFUNCTION("""COMPUTED_VALUE"""),"Olivia Gillis")</f>
        <v>Olivia Gillis</v>
      </c>
      <c r="C330" s="10" t="str">
        <f ca="1">IFERROR(__xludf.DUMMYFUNCTION("""COMPUTED_VALUE"""),"Lamar Middle School")</f>
        <v>Lamar Middle School</v>
      </c>
      <c r="D330" s="10" t="str">
        <f ca="1">IFERROR(__xludf.DUMMYFUNCTION("""COMPUTED_VALUE"""),"MS")</f>
        <v>MS</v>
      </c>
      <c r="E330" s="10">
        <f ca="1">IFERROR(__xludf.DUMMYFUNCTION("""COMPUTED_VALUE"""),280)</f>
        <v>280</v>
      </c>
      <c r="F330" s="10">
        <f ca="1">IFERROR(__xludf.DUMMYFUNCTION("""COMPUTED_VALUE"""),13)</f>
        <v>13</v>
      </c>
      <c r="G330" s="10">
        <f ca="1">IFERROR(__xludf.DUMMYFUNCTION("""COMPUTED_VALUE"""),145)</f>
        <v>145</v>
      </c>
      <c r="H330" s="10">
        <f ca="1">IFERROR(__xludf.DUMMYFUNCTION("""COMPUTED_VALUE"""),135)</f>
        <v>135</v>
      </c>
    </row>
    <row r="331" spans="1:8">
      <c r="A331" s="9">
        <f ca="1">IFERROR(__xludf.DUMMYFUNCTION("""COMPUTED_VALUE"""),90035)</f>
        <v>90035</v>
      </c>
      <c r="B331" s="10" t="str">
        <f ca="1">IFERROR(__xludf.DUMMYFUNCTION("""COMPUTED_VALUE"""),"Olivia Mansuri")</f>
        <v>Olivia Mansuri</v>
      </c>
      <c r="C331" s="10" t="str">
        <f ca="1">IFERROR(__xludf.DUMMYFUNCTION("""COMPUTED_VALUE"""),"Lamar Middle School")</f>
        <v>Lamar Middle School</v>
      </c>
      <c r="D331" s="10" t="str">
        <f ca="1">IFERROR(__xludf.DUMMYFUNCTION("""COMPUTED_VALUE"""),"MS")</f>
        <v>MS</v>
      </c>
      <c r="E331" s="10">
        <f ca="1">IFERROR(__xludf.DUMMYFUNCTION("""COMPUTED_VALUE"""),241)</f>
        <v>241</v>
      </c>
      <c r="F331" s="10">
        <f ca="1">IFERROR(__xludf.DUMMYFUNCTION("""COMPUTED_VALUE"""),6)</f>
        <v>6</v>
      </c>
      <c r="G331" s="10">
        <f ca="1">IFERROR(__xludf.DUMMYFUNCTION("""COMPUTED_VALUE"""),130)</f>
        <v>130</v>
      </c>
      <c r="H331" s="10">
        <f ca="1">IFERROR(__xludf.DUMMYFUNCTION("""COMPUTED_VALUE"""),111)</f>
        <v>111</v>
      </c>
    </row>
    <row r="332" spans="1:8">
      <c r="A332" s="9">
        <f ca="1">IFERROR(__xludf.DUMMYFUNCTION("""COMPUTED_VALUE"""),90037)</f>
        <v>90037</v>
      </c>
      <c r="B332" s="10" t="str">
        <f ca="1">IFERROR(__xludf.DUMMYFUNCTION("""COMPUTED_VALUE"""),"Reid McKay")</f>
        <v>Reid McKay</v>
      </c>
      <c r="C332" s="10" t="str">
        <f ca="1">IFERROR(__xludf.DUMMYFUNCTION("""COMPUTED_VALUE"""),"Lamar Middle School")</f>
        <v>Lamar Middle School</v>
      </c>
      <c r="D332" s="10" t="str">
        <f ca="1">IFERROR(__xludf.DUMMYFUNCTION("""COMPUTED_VALUE"""),"MS")</f>
        <v>MS</v>
      </c>
      <c r="E332" s="10">
        <f ca="1">IFERROR(__xludf.DUMMYFUNCTION("""COMPUTED_VALUE"""),231)</f>
        <v>231</v>
      </c>
      <c r="F332" s="10">
        <f ca="1">IFERROR(__xludf.DUMMYFUNCTION("""COMPUTED_VALUE"""),4)</f>
        <v>4</v>
      </c>
      <c r="G332" s="10">
        <f ca="1">IFERROR(__xludf.DUMMYFUNCTION("""COMPUTED_VALUE"""),131)</f>
        <v>131</v>
      </c>
      <c r="H332" s="10">
        <f ca="1">IFERROR(__xludf.DUMMYFUNCTION("""COMPUTED_VALUE"""),100)</f>
        <v>100</v>
      </c>
    </row>
    <row r="333" spans="1:8">
      <c r="A333" s="9">
        <f ca="1">IFERROR(__xludf.DUMMYFUNCTION("""COMPUTED_VALUE"""),90038)</f>
        <v>90038</v>
      </c>
      <c r="B333" s="10" t="str">
        <f ca="1">IFERROR(__xludf.DUMMYFUNCTION("""COMPUTED_VALUE"""),"Rose Underwood")</f>
        <v>Rose Underwood</v>
      </c>
      <c r="C333" s="10" t="str">
        <f ca="1">IFERROR(__xludf.DUMMYFUNCTION("""COMPUTED_VALUE"""),"Lamar Middle School")</f>
        <v>Lamar Middle School</v>
      </c>
      <c r="D333" s="10" t="str">
        <f ca="1">IFERROR(__xludf.DUMMYFUNCTION("""COMPUTED_VALUE"""),"MS")</f>
        <v>MS</v>
      </c>
      <c r="E333" s="10">
        <f ca="1">IFERROR(__xludf.DUMMYFUNCTION("""COMPUTED_VALUE"""),258)</f>
        <v>258</v>
      </c>
      <c r="F333" s="10">
        <f ca="1">IFERROR(__xludf.DUMMYFUNCTION("""COMPUTED_VALUE"""),9)</f>
        <v>9</v>
      </c>
      <c r="G333" s="10">
        <f ca="1">IFERROR(__xludf.DUMMYFUNCTION("""COMPUTED_VALUE"""),135)</f>
        <v>135</v>
      </c>
      <c r="H333" s="10">
        <f ca="1">IFERROR(__xludf.DUMMYFUNCTION("""COMPUTED_VALUE"""),123)</f>
        <v>123</v>
      </c>
    </row>
    <row r="334" spans="1:8">
      <c r="A334" s="9">
        <f ca="1">IFERROR(__xludf.DUMMYFUNCTION("""COMPUTED_VALUE"""),90040)</f>
        <v>90040</v>
      </c>
      <c r="B334" s="10" t="str">
        <f ca="1">IFERROR(__xludf.DUMMYFUNCTION("""COMPUTED_VALUE"""),"Sammie Garel")</f>
        <v>Sammie Garel</v>
      </c>
      <c r="C334" s="10" t="str">
        <f ca="1">IFERROR(__xludf.DUMMYFUNCTION("""COMPUTED_VALUE"""),"Lamar Middle School")</f>
        <v>Lamar Middle School</v>
      </c>
      <c r="D334" s="10" t="str">
        <f ca="1">IFERROR(__xludf.DUMMYFUNCTION("""COMPUTED_VALUE"""),"MS")</f>
        <v>MS</v>
      </c>
      <c r="E334" s="10">
        <f ca="1">IFERROR(__xludf.DUMMYFUNCTION("""COMPUTED_VALUE"""),272)</f>
        <v>272</v>
      </c>
      <c r="F334" s="10">
        <f ca="1">IFERROR(__xludf.DUMMYFUNCTION("""COMPUTED_VALUE"""),11)</f>
        <v>11</v>
      </c>
      <c r="G334" s="10">
        <f ca="1">IFERROR(__xludf.DUMMYFUNCTION("""COMPUTED_VALUE"""),139)</f>
        <v>139</v>
      </c>
      <c r="H334" s="10">
        <f ca="1">IFERROR(__xludf.DUMMYFUNCTION("""COMPUTED_VALUE"""),133)</f>
        <v>133</v>
      </c>
    </row>
    <row r="335" spans="1:8">
      <c r="A335" s="9">
        <f ca="1">IFERROR(__xludf.DUMMYFUNCTION("""COMPUTED_VALUE"""),90041)</f>
        <v>90041</v>
      </c>
      <c r="B335" s="10" t="str">
        <f ca="1">IFERROR(__xludf.DUMMYFUNCTION("""COMPUTED_VALUE"""),"Simon Saldana")</f>
        <v>Simon Saldana</v>
      </c>
      <c r="C335" s="10" t="str">
        <f ca="1">IFERROR(__xludf.DUMMYFUNCTION("""COMPUTED_VALUE"""),"Lamar Middle School")</f>
        <v>Lamar Middle School</v>
      </c>
      <c r="D335" s="10" t="str">
        <f ca="1">IFERROR(__xludf.DUMMYFUNCTION("""COMPUTED_VALUE"""),"MS")</f>
        <v>MS</v>
      </c>
      <c r="E335" s="10">
        <f ca="1">IFERROR(__xludf.DUMMYFUNCTION("""COMPUTED_VALUE"""),125)</f>
        <v>125</v>
      </c>
      <c r="F335" s="10">
        <f ca="1">IFERROR(__xludf.DUMMYFUNCTION("""COMPUTED_VALUE"""),1)</f>
        <v>1</v>
      </c>
      <c r="G335" s="10">
        <f ca="1">IFERROR(__xludf.DUMMYFUNCTION("""COMPUTED_VALUE"""),58)</f>
        <v>58</v>
      </c>
      <c r="H335" s="10">
        <f ca="1">IFERROR(__xludf.DUMMYFUNCTION("""COMPUTED_VALUE"""),67)</f>
        <v>67</v>
      </c>
    </row>
    <row r="336" spans="1:8">
      <c r="A336" s="9">
        <f ca="1">IFERROR(__xludf.DUMMYFUNCTION("""COMPUTED_VALUE"""),90042)</f>
        <v>90042</v>
      </c>
      <c r="B336" s="10" t="str">
        <f ca="1">IFERROR(__xludf.DUMMYFUNCTION("""COMPUTED_VALUE"""),"Stella Dooner")</f>
        <v>Stella Dooner</v>
      </c>
      <c r="C336" s="10" t="str">
        <f ca="1">IFERROR(__xludf.DUMMYFUNCTION("""COMPUTED_VALUE"""),"Lamar Middle School")</f>
        <v>Lamar Middle School</v>
      </c>
      <c r="D336" s="10" t="str">
        <f ca="1">IFERROR(__xludf.DUMMYFUNCTION("""COMPUTED_VALUE"""),"MS")</f>
        <v>MS</v>
      </c>
      <c r="E336" s="10">
        <f ca="1">IFERROR(__xludf.DUMMYFUNCTION("""COMPUTED_VALUE"""),226)</f>
        <v>226</v>
      </c>
      <c r="F336" s="10">
        <f ca="1">IFERROR(__xludf.DUMMYFUNCTION("""COMPUTED_VALUE"""),1)</f>
        <v>1</v>
      </c>
      <c r="G336" s="10">
        <f ca="1">IFERROR(__xludf.DUMMYFUNCTION("""COMPUTED_VALUE"""),118)</f>
        <v>118</v>
      </c>
      <c r="H336" s="10">
        <f ca="1">IFERROR(__xludf.DUMMYFUNCTION("""COMPUTED_VALUE"""),108)</f>
        <v>108</v>
      </c>
    </row>
    <row r="337" spans="1:8">
      <c r="A337" s="9">
        <f ca="1">IFERROR(__xludf.DUMMYFUNCTION("""COMPUTED_VALUE"""),90043)</f>
        <v>90043</v>
      </c>
      <c r="B337" s="10" t="str">
        <f ca="1">IFERROR(__xludf.DUMMYFUNCTION("""COMPUTED_VALUE"""),"Torsten Hess")</f>
        <v>Torsten Hess</v>
      </c>
      <c r="C337" s="10" t="str">
        <f ca="1">IFERROR(__xludf.DUMMYFUNCTION("""COMPUTED_VALUE"""),"Lamar Middle School")</f>
        <v>Lamar Middle School</v>
      </c>
      <c r="D337" s="10" t="str">
        <f ca="1">IFERROR(__xludf.DUMMYFUNCTION("""COMPUTED_VALUE"""),"MS")</f>
        <v>MS</v>
      </c>
      <c r="E337" s="10">
        <f ca="1">IFERROR(__xludf.DUMMYFUNCTION("""COMPUTED_VALUE"""),251)</f>
        <v>251</v>
      </c>
      <c r="F337" s="10">
        <f ca="1">IFERROR(__xludf.DUMMYFUNCTION("""COMPUTED_VALUE"""),4)</f>
        <v>4</v>
      </c>
      <c r="G337" s="10">
        <f ca="1">IFERROR(__xludf.DUMMYFUNCTION("""COMPUTED_VALUE"""),132)</f>
        <v>132</v>
      </c>
      <c r="H337" s="10">
        <f ca="1">IFERROR(__xludf.DUMMYFUNCTION("""COMPUTED_VALUE"""),119)</f>
        <v>119</v>
      </c>
    </row>
    <row r="338" spans="1:8">
      <c r="A338" s="9">
        <f ca="1">IFERROR(__xludf.DUMMYFUNCTION("""COMPUTED_VALUE"""),90044)</f>
        <v>90044</v>
      </c>
      <c r="B338" s="10" t="str">
        <f ca="1">IFERROR(__xludf.DUMMYFUNCTION("""COMPUTED_VALUE"""),"Toshi Gonzalez")</f>
        <v>Toshi Gonzalez</v>
      </c>
      <c r="C338" s="10" t="str">
        <f ca="1">IFERROR(__xludf.DUMMYFUNCTION("""COMPUTED_VALUE"""),"Lamar Middle School")</f>
        <v>Lamar Middle School</v>
      </c>
      <c r="D338" s="10" t="str">
        <f ca="1">IFERROR(__xludf.DUMMYFUNCTION("""COMPUTED_VALUE"""),"MS")</f>
        <v>MS</v>
      </c>
      <c r="E338" s="10" t="str">
        <f ca="1">IFERROR(__xludf.DUMMYFUNCTION("""COMPUTED_VALUE"""),"Posting")</f>
        <v>Posting</v>
      </c>
      <c r="F338" s="10" t="str">
        <f ca="1">IFERROR(__xludf.DUMMYFUNCTION("""COMPUTED_VALUE"""),"Posting")</f>
        <v>Posting</v>
      </c>
      <c r="G338" s="10" t="str">
        <f ca="1">IFERROR(__xludf.DUMMYFUNCTION("""COMPUTED_VALUE"""),"Posting")</f>
        <v>Posting</v>
      </c>
      <c r="H338" s="10" t="str">
        <f ca="1">IFERROR(__xludf.DUMMYFUNCTION("""COMPUTED_VALUE"""),"Posting")</f>
        <v>Posting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ABF7-9F72-411C-93DB-1EA8FBB8D1E9}">
  <dimension ref="A1:K669"/>
  <sheetViews>
    <sheetView topLeftCell="A261" workbookViewId="0">
      <selection activeCell="H65" sqref="H65"/>
    </sheetView>
  </sheetViews>
  <sheetFormatPr defaultRowHeight="15"/>
  <cols>
    <col min="1" max="1" width="19.5703125" customWidth="1"/>
    <col min="2" max="2" width="19.28515625" bestFit="1" customWidth="1"/>
    <col min="3" max="3" width="19.7109375" bestFit="1" customWidth="1"/>
    <col min="4" max="4" width="39.85546875" customWidth="1"/>
    <col min="5" max="5" width="22.140625" customWidth="1"/>
    <col min="6" max="6" width="16.140625" bestFit="1" customWidth="1"/>
  </cols>
  <sheetData>
    <row r="1" spans="1:11" ht="15" customHeight="1">
      <c r="A1" s="33" t="s">
        <v>1015</v>
      </c>
      <c r="B1" s="32" t="s">
        <v>399</v>
      </c>
      <c r="C1" s="32" t="s">
        <v>400</v>
      </c>
      <c r="D1" s="32"/>
      <c r="E1" s="32" t="s">
        <v>1016</v>
      </c>
      <c r="F1" s="32" t="s">
        <v>1017</v>
      </c>
      <c r="G1" s="33" t="s">
        <v>8</v>
      </c>
    </row>
    <row r="2" spans="1:11" ht="15" customHeight="1">
      <c r="A2" s="14">
        <v>10001</v>
      </c>
      <c r="B2" t="s">
        <v>573</v>
      </c>
      <c r="C2" t="s">
        <v>574</v>
      </c>
      <c r="E2" t="s">
        <v>12</v>
      </c>
      <c r="F2" t="s">
        <v>1021</v>
      </c>
      <c r="G2" t="s">
        <v>449</v>
      </c>
    </row>
    <row r="3" spans="1:11" ht="15" customHeight="1">
      <c r="A3" s="14">
        <v>10002</v>
      </c>
      <c r="B3" t="s">
        <v>595</v>
      </c>
      <c r="C3" t="s">
        <v>597</v>
      </c>
      <c r="E3" t="s">
        <v>12</v>
      </c>
      <c r="F3" t="s">
        <v>1021</v>
      </c>
      <c r="G3" t="s">
        <v>414</v>
      </c>
      <c r="K3" s="20"/>
    </row>
    <row r="4" spans="1:11" ht="15" customHeight="1">
      <c r="A4" s="14">
        <v>10003</v>
      </c>
      <c r="B4" t="s">
        <v>686</v>
      </c>
      <c r="C4" t="s">
        <v>688</v>
      </c>
      <c r="E4" t="s">
        <v>12</v>
      </c>
      <c r="F4" t="s">
        <v>1021</v>
      </c>
      <c r="G4" t="s">
        <v>414</v>
      </c>
      <c r="K4" s="20"/>
    </row>
    <row r="5" spans="1:11" ht="15" customHeight="1">
      <c r="A5" s="14">
        <v>10004</v>
      </c>
      <c r="B5" t="s">
        <v>739</v>
      </c>
      <c r="C5" t="s">
        <v>740</v>
      </c>
      <c r="E5" t="s">
        <v>12</v>
      </c>
      <c r="F5" t="s">
        <v>1021</v>
      </c>
      <c r="G5" t="s">
        <v>417</v>
      </c>
      <c r="K5" s="20"/>
    </row>
    <row r="6" spans="1:11" ht="15" customHeight="1">
      <c r="A6" s="14">
        <v>10005</v>
      </c>
      <c r="B6" t="s">
        <v>768</v>
      </c>
      <c r="C6" t="s">
        <v>406</v>
      </c>
      <c r="E6" t="s">
        <v>12</v>
      </c>
      <c r="F6" t="s">
        <v>1021</v>
      </c>
      <c r="G6" t="s">
        <v>449</v>
      </c>
      <c r="K6" s="20"/>
    </row>
    <row r="7" spans="1:11" ht="15" customHeight="1">
      <c r="A7" s="14">
        <v>10006</v>
      </c>
      <c r="B7" t="s">
        <v>901</v>
      </c>
      <c r="C7" t="s">
        <v>902</v>
      </c>
      <c r="E7" t="s">
        <v>12</v>
      </c>
      <c r="F7" t="s">
        <v>1021</v>
      </c>
      <c r="G7" t="s">
        <v>449</v>
      </c>
      <c r="K7" s="20"/>
    </row>
    <row r="8" spans="1:11" ht="15" customHeight="1">
      <c r="A8" s="14">
        <v>10007</v>
      </c>
      <c r="B8" t="s">
        <v>973</v>
      </c>
      <c r="C8" t="s">
        <v>974</v>
      </c>
      <c r="E8" t="s">
        <v>12</v>
      </c>
      <c r="F8" t="s">
        <v>1021</v>
      </c>
      <c r="G8" t="s">
        <v>414</v>
      </c>
      <c r="K8" s="20"/>
    </row>
    <row r="9" spans="1:11" ht="15" customHeight="1">
      <c r="A9" s="14">
        <v>10008</v>
      </c>
      <c r="B9" t="s">
        <v>1001</v>
      </c>
      <c r="C9" t="s">
        <v>1003</v>
      </c>
      <c r="E9" t="s">
        <v>12</v>
      </c>
      <c r="F9" t="s">
        <v>1021</v>
      </c>
      <c r="G9" t="s">
        <v>414</v>
      </c>
      <c r="K9" s="20"/>
    </row>
    <row r="10" spans="1:11" ht="15" customHeight="1">
      <c r="A10" s="14">
        <v>11001</v>
      </c>
      <c r="B10" t="s">
        <v>432</v>
      </c>
      <c r="C10" t="s">
        <v>433</v>
      </c>
      <c r="E10" t="s">
        <v>23</v>
      </c>
      <c r="F10" t="s">
        <v>1021</v>
      </c>
      <c r="G10" t="s">
        <v>417</v>
      </c>
      <c r="K10" s="20"/>
    </row>
    <row r="11" spans="1:11" ht="15" customHeight="1">
      <c r="A11" s="14">
        <v>11002</v>
      </c>
      <c r="B11" t="s">
        <v>443</v>
      </c>
      <c r="C11" t="s">
        <v>445</v>
      </c>
      <c r="E11" t="s">
        <v>23</v>
      </c>
      <c r="F11" t="s">
        <v>1021</v>
      </c>
      <c r="G11" t="s">
        <v>446</v>
      </c>
      <c r="K11" s="20"/>
    </row>
    <row r="12" spans="1:11" ht="15" customHeight="1">
      <c r="A12" s="14">
        <v>11003</v>
      </c>
      <c r="B12" t="s">
        <v>463</v>
      </c>
      <c r="C12" t="s">
        <v>464</v>
      </c>
      <c r="E12" t="s">
        <v>23</v>
      </c>
      <c r="F12" t="s">
        <v>1021</v>
      </c>
      <c r="G12" t="s">
        <v>449</v>
      </c>
      <c r="K12" s="20"/>
    </row>
    <row r="13" spans="1:11" ht="15" customHeight="1">
      <c r="A13" s="14">
        <v>11004</v>
      </c>
      <c r="B13" t="s">
        <v>467</v>
      </c>
      <c r="C13" t="s">
        <v>468</v>
      </c>
      <c r="E13" t="s">
        <v>23</v>
      </c>
      <c r="F13" t="s">
        <v>1021</v>
      </c>
      <c r="G13" t="s">
        <v>417</v>
      </c>
      <c r="K13" s="20"/>
    </row>
    <row r="14" spans="1:11" ht="15" customHeight="1">
      <c r="A14" s="14">
        <v>11005</v>
      </c>
      <c r="B14" t="s">
        <v>483</v>
      </c>
      <c r="C14" t="s">
        <v>485</v>
      </c>
      <c r="E14" t="s">
        <v>23</v>
      </c>
      <c r="F14" t="s">
        <v>1021</v>
      </c>
      <c r="G14" t="s">
        <v>449</v>
      </c>
      <c r="K14" s="20"/>
    </row>
    <row r="15" spans="1:11" ht="15" customHeight="1">
      <c r="A15" s="14">
        <v>11006</v>
      </c>
      <c r="B15" t="s">
        <v>492</v>
      </c>
      <c r="C15" t="s">
        <v>494</v>
      </c>
      <c r="E15" t="s">
        <v>23</v>
      </c>
      <c r="F15" t="s">
        <v>1021</v>
      </c>
      <c r="G15" t="s">
        <v>414</v>
      </c>
      <c r="K15" s="20"/>
    </row>
    <row r="16" spans="1:11" ht="15" customHeight="1">
      <c r="A16" s="14">
        <v>11007</v>
      </c>
      <c r="B16" t="s">
        <v>510</v>
      </c>
      <c r="C16" t="s">
        <v>511</v>
      </c>
      <c r="E16" t="s">
        <v>23</v>
      </c>
      <c r="F16" t="s">
        <v>1021</v>
      </c>
      <c r="G16" t="s">
        <v>446</v>
      </c>
      <c r="K16" s="20"/>
    </row>
    <row r="17" spans="1:7" ht="15" customHeight="1">
      <c r="A17" s="14">
        <v>11008</v>
      </c>
      <c r="B17" t="s">
        <v>514</v>
      </c>
      <c r="C17" t="s">
        <v>515</v>
      </c>
      <c r="E17" t="s">
        <v>23</v>
      </c>
      <c r="F17" t="s">
        <v>1021</v>
      </c>
      <c r="G17" t="s">
        <v>446</v>
      </c>
    </row>
    <row r="18" spans="1:7" ht="15" customHeight="1">
      <c r="A18" s="14">
        <v>11009</v>
      </c>
      <c r="B18" t="s">
        <v>524</v>
      </c>
      <c r="C18" t="s">
        <v>525</v>
      </c>
      <c r="E18" t="s">
        <v>23</v>
      </c>
      <c r="F18" t="s">
        <v>1021</v>
      </c>
      <c r="G18" t="s">
        <v>417</v>
      </c>
    </row>
    <row r="19" spans="1:7" ht="15" customHeight="1">
      <c r="A19" s="14">
        <v>11010</v>
      </c>
      <c r="B19" t="s">
        <v>575</v>
      </c>
      <c r="C19" t="s">
        <v>576</v>
      </c>
      <c r="E19" t="s">
        <v>23</v>
      </c>
      <c r="F19" t="s">
        <v>1021</v>
      </c>
      <c r="G19" t="s">
        <v>446</v>
      </c>
    </row>
    <row r="20" spans="1:7" ht="15" customHeight="1">
      <c r="A20" s="14">
        <v>11011</v>
      </c>
      <c r="B20" t="s">
        <v>593</v>
      </c>
      <c r="C20" t="s">
        <v>594</v>
      </c>
      <c r="E20" t="s">
        <v>23</v>
      </c>
      <c r="F20" t="s">
        <v>1021</v>
      </c>
      <c r="G20" t="s">
        <v>449</v>
      </c>
    </row>
    <row r="21" spans="1:7" ht="15" customHeight="1">
      <c r="A21" s="14">
        <v>11012</v>
      </c>
      <c r="B21" t="s">
        <v>604</v>
      </c>
      <c r="C21" t="s">
        <v>451</v>
      </c>
      <c r="E21" t="s">
        <v>23</v>
      </c>
      <c r="F21" t="s">
        <v>1021</v>
      </c>
      <c r="G21" t="s">
        <v>414</v>
      </c>
    </row>
    <row r="22" spans="1:7" ht="15" customHeight="1">
      <c r="A22" s="14">
        <v>11013</v>
      </c>
      <c r="B22" t="s">
        <v>607</v>
      </c>
      <c r="C22" t="s">
        <v>608</v>
      </c>
      <c r="E22" t="s">
        <v>23</v>
      </c>
      <c r="F22" t="s">
        <v>1021</v>
      </c>
      <c r="G22" t="s">
        <v>446</v>
      </c>
    </row>
    <row r="23" spans="1:7">
      <c r="A23" s="14">
        <v>11014</v>
      </c>
      <c r="B23" t="s">
        <v>619</v>
      </c>
      <c r="C23" t="s">
        <v>620</v>
      </c>
      <c r="E23" t="s">
        <v>23</v>
      </c>
      <c r="F23" t="s">
        <v>1021</v>
      </c>
      <c r="G23" t="s">
        <v>414</v>
      </c>
    </row>
    <row r="24" spans="1:7">
      <c r="A24" s="14">
        <v>11015</v>
      </c>
      <c r="B24" t="s">
        <v>637</v>
      </c>
      <c r="C24" t="s">
        <v>638</v>
      </c>
      <c r="E24" t="s">
        <v>23</v>
      </c>
      <c r="F24" t="s">
        <v>1021</v>
      </c>
      <c r="G24" t="s">
        <v>417</v>
      </c>
    </row>
    <row r="25" spans="1:7">
      <c r="A25" s="14">
        <v>11016</v>
      </c>
      <c r="B25" t="s">
        <v>641</v>
      </c>
      <c r="C25" t="s">
        <v>642</v>
      </c>
      <c r="E25" t="s">
        <v>23</v>
      </c>
      <c r="F25" t="s">
        <v>1021</v>
      </c>
      <c r="G25" t="s">
        <v>414</v>
      </c>
    </row>
    <row r="26" spans="1:7">
      <c r="A26" s="14">
        <v>11017</v>
      </c>
      <c r="B26" t="s">
        <v>672</v>
      </c>
      <c r="C26" t="s">
        <v>673</v>
      </c>
      <c r="E26" t="s">
        <v>23</v>
      </c>
      <c r="F26" t="s">
        <v>1021</v>
      </c>
      <c r="G26" t="s">
        <v>417</v>
      </c>
    </row>
    <row r="27" spans="1:7">
      <c r="A27" s="14">
        <v>11018</v>
      </c>
      <c r="B27" t="s">
        <v>680</v>
      </c>
      <c r="C27" t="s">
        <v>681</v>
      </c>
      <c r="E27" t="s">
        <v>23</v>
      </c>
      <c r="F27" t="s">
        <v>1021</v>
      </c>
      <c r="G27" t="s">
        <v>449</v>
      </c>
    </row>
    <row r="28" spans="1:7">
      <c r="A28" s="14">
        <v>11019</v>
      </c>
      <c r="B28" t="s">
        <v>693</v>
      </c>
      <c r="C28" t="s">
        <v>513</v>
      </c>
      <c r="E28" t="s">
        <v>23</v>
      </c>
      <c r="F28" t="s">
        <v>1021</v>
      </c>
      <c r="G28" t="s">
        <v>417</v>
      </c>
    </row>
    <row r="29" spans="1:7">
      <c r="A29" s="14">
        <v>11020</v>
      </c>
      <c r="B29" t="s">
        <v>700</v>
      </c>
      <c r="C29" t="s">
        <v>561</v>
      </c>
      <c r="E29" t="s">
        <v>23</v>
      </c>
      <c r="F29" t="s">
        <v>1021</v>
      </c>
      <c r="G29" t="s">
        <v>417</v>
      </c>
    </row>
    <row r="30" spans="1:7">
      <c r="A30" s="14">
        <v>11021</v>
      </c>
      <c r="B30" t="s">
        <v>718</v>
      </c>
      <c r="C30" t="s">
        <v>719</v>
      </c>
      <c r="E30" t="s">
        <v>23</v>
      </c>
      <c r="F30" t="s">
        <v>1021</v>
      </c>
      <c r="G30" t="s">
        <v>414</v>
      </c>
    </row>
    <row r="31" spans="1:7">
      <c r="A31" s="14">
        <v>11022</v>
      </c>
      <c r="B31" t="s">
        <v>732</v>
      </c>
      <c r="C31" t="s">
        <v>733</v>
      </c>
      <c r="E31" t="s">
        <v>23</v>
      </c>
      <c r="F31" t="s">
        <v>1021</v>
      </c>
      <c r="G31" t="s">
        <v>449</v>
      </c>
    </row>
    <row r="32" spans="1:7">
      <c r="A32" s="14">
        <v>11023</v>
      </c>
      <c r="B32" t="s">
        <v>734</v>
      </c>
      <c r="C32" t="s">
        <v>735</v>
      </c>
      <c r="E32" t="s">
        <v>23</v>
      </c>
      <c r="F32" t="s">
        <v>1021</v>
      </c>
      <c r="G32" t="s">
        <v>414</v>
      </c>
    </row>
    <row r="33" spans="1:7">
      <c r="A33" s="14">
        <v>11024</v>
      </c>
      <c r="B33" t="s">
        <v>757</v>
      </c>
      <c r="C33" t="s">
        <v>758</v>
      </c>
      <c r="E33" t="s">
        <v>23</v>
      </c>
      <c r="F33" t="s">
        <v>1021</v>
      </c>
      <c r="G33" t="s">
        <v>417</v>
      </c>
    </row>
    <row r="34" spans="1:7">
      <c r="A34" s="14">
        <v>11025</v>
      </c>
      <c r="B34" t="s">
        <v>759</v>
      </c>
      <c r="C34" t="s">
        <v>760</v>
      </c>
      <c r="E34" t="s">
        <v>23</v>
      </c>
      <c r="F34" t="s">
        <v>1021</v>
      </c>
      <c r="G34" t="s">
        <v>449</v>
      </c>
    </row>
    <row r="35" spans="1:7">
      <c r="A35" s="14">
        <v>11026</v>
      </c>
      <c r="B35" t="s">
        <v>761</v>
      </c>
      <c r="C35" t="s">
        <v>762</v>
      </c>
      <c r="E35" t="s">
        <v>23</v>
      </c>
      <c r="F35" t="s">
        <v>1021</v>
      </c>
      <c r="G35" t="s">
        <v>449</v>
      </c>
    </row>
    <row r="36" spans="1:7">
      <c r="A36" s="14">
        <v>11027</v>
      </c>
      <c r="B36" t="s">
        <v>769</v>
      </c>
      <c r="C36" t="s">
        <v>640</v>
      </c>
      <c r="E36" t="s">
        <v>23</v>
      </c>
      <c r="F36" t="s">
        <v>1021</v>
      </c>
      <c r="G36" t="s">
        <v>417</v>
      </c>
    </row>
    <row r="37" spans="1:7">
      <c r="A37" s="14">
        <v>11028</v>
      </c>
      <c r="B37" t="s">
        <v>777</v>
      </c>
      <c r="C37" t="s">
        <v>778</v>
      </c>
      <c r="E37" t="s">
        <v>23</v>
      </c>
      <c r="F37" t="s">
        <v>1021</v>
      </c>
      <c r="G37" t="s">
        <v>414</v>
      </c>
    </row>
    <row r="38" spans="1:7">
      <c r="A38" s="14">
        <v>11029</v>
      </c>
      <c r="B38" t="s">
        <v>828</v>
      </c>
      <c r="C38" t="s">
        <v>829</v>
      </c>
      <c r="E38" t="s">
        <v>23</v>
      </c>
      <c r="F38" t="s">
        <v>1021</v>
      </c>
      <c r="G38" t="s">
        <v>449</v>
      </c>
    </row>
    <row r="39" spans="1:7">
      <c r="A39" s="14">
        <v>11030</v>
      </c>
      <c r="B39" t="s">
        <v>839</v>
      </c>
      <c r="C39" t="s">
        <v>841</v>
      </c>
      <c r="E39" t="s">
        <v>23</v>
      </c>
      <c r="F39" t="s">
        <v>1021</v>
      </c>
      <c r="G39" t="s">
        <v>449</v>
      </c>
    </row>
    <row r="40" spans="1:7">
      <c r="A40" s="14">
        <v>11031</v>
      </c>
      <c r="B40" t="s">
        <v>829</v>
      </c>
      <c r="C40" t="s">
        <v>865</v>
      </c>
      <c r="E40" t="s">
        <v>23</v>
      </c>
      <c r="F40" t="s">
        <v>1021</v>
      </c>
      <c r="G40" t="s">
        <v>417</v>
      </c>
    </row>
    <row r="41" spans="1:7">
      <c r="A41" s="14">
        <v>11032</v>
      </c>
      <c r="B41" t="s">
        <v>892</v>
      </c>
      <c r="C41" t="s">
        <v>894</v>
      </c>
      <c r="E41" t="s">
        <v>23</v>
      </c>
      <c r="F41" t="s">
        <v>1021</v>
      </c>
      <c r="G41" t="s">
        <v>446</v>
      </c>
    </row>
    <row r="42" spans="1:7">
      <c r="A42" s="14">
        <v>11033</v>
      </c>
      <c r="B42" t="s">
        <v>918</v>
      </c>
      <c r="C42" t="s">
        <v>920</v>
      </c>
      <c r="E42" t="s">
        <v>23</v>
      </c>
      <c r="F42" t="s">
        <v>1021</v>
      </c>
      <c r="G42" t="s">
        <v>417</v>
      </c>
    </row>
    <row r="43" spans="1:7">
      <c r="A43" s="14">
        <v>11034</v>
      </c>
      <c r="B43" t="s">
        <v>924</v>
      </c>
      <c r="C43" t="s">
        <v>925</v>
      </c>
      <c r="E43" t="s">
        <v>23</v>
      </c>
      <c r="F43" t="s">
        <v>1021</v>
      </c>
      <c r="G43" t="s">
        <v>414</v>
      </c>
    </row>
    <row r="44" spans="1:7">
      <c r="A44" s="14">
        <v>11035</v>
      </c>
      <c r="B44" t="s">
        <v>948</v>
      </c>
      <c r="C44" t="s">
        <v>949</v>
      </c>
      <c r="E44" t="s">
        <v>23</v>
      </c>
      <c r="F44" t="s">
        <v>1021</v>
      </c>
      <c r="G44" t="s">
        <v>414</v>
      </c>
    </row>
    <row r="45" spans="1:7">
      <c r="A45" s="14">
        <v>11036</v>
      </c>
      <c r="B45" t="s">
        <v>950</v>
      </c>
      <c r="C45" t="s">
        <v>952</v>
      </c>
      <c r="E45" t="s">
        <v>23</v>
      </c>
      <c r="F45" t="s">
        <v>1021</v>
      </c>
      <c r="G45" t="s">
        <v>446</v>
      </c>
    </row>
    <row r="46" spans="1:7">
      <c r="A46" s="14">
        <v>11037</v>
      </c>
      <c r="B46" t="s">
        <v>956</v>
      </c>
      <c r="C46" t="s">
        <v>957</v>
      </c>
      <c r="E46" t="s">
        <v>23</v>
      </c>
      <c r="F46" t="s">
        <v>1021</v>
      </c>
      <c r="G46" t="s">
        <v>417</v>
      </c>
    </row>
    <row r="47" spans="1:7">
      <c r="A47" s="14">
        <v>11038</v>
      </c>
      <c r="B47" t="s">
        <v>987</v>
      </c>
      <c r="C47" t="s">
        <v>988</v>
      </c>
      <c r="E47" t="s">
        <v>23</v>
      </c>
      <c r="F47" t="s">
        <v>1021</v>
      </c>
      <c r="G47" t="s">
        <v>446</v>
      </c>
    </row>
    <row r="48" spans="1:7">
      <c r="A48" s="14">
        <v>11039</v>
      </c>
      <c r="B48" t="s">
        <v>991</v>
      </c>
      <c r="C48" t="s">
        <v>992</v>
      </c>
      <c r="E48" t="s">
        <v>23</v>
      </c>
      <c r="F48" t="s">
        <v>1021</v>
      </c>
      <c r="G48" t="s">
        <v>449</v>
      </c>
    </row>
    <row r="49" spans="1:7">
      <c r="A49" s="14">
        <v>11040</v>
      </c>
      <c r="B49" t="s">
        <v>1013</v>
      </c>
      <c r="C49" t="s">
        <v>1014</v>
      </c>
      <c r="E49" t="s">
        <v>23</v>
      </c>
      <c r="F49" t="s">
        <v>1021</v>
      </c>
      <c r="G49" t="s">
        <v>414</v>
      </c>
    </row>
    <row r="50" spans="1:7">
      <c r="A50" s="14">
        <v>12001</v>
      </c>
      <c r="B50" t="s">
        <v>527</v>
      </c>
      <c r="C50" t="s">
        <v>528</v>
      </c>
      <c r="E50" t="s">
        <v>65</v>
      </c>
      <c r="F50" t="s">
        <v>1021</v>
      </c>
      <c r="G50" t="s">
        <v>449</v>
      </c>
    </row>
    <row r="51" spans="1:7">
      <c r="A51" s="14">
        <v>12002</v>
      </c>
      <c r="B51" t="s">
        <v>752</v>
      </c>
      <c r="C51" t="s">
        <v>753</v>
      </c>
      <c r="E51" t="s">
        <v>65</v>
      </c>
      <c r="F51" t="s">
        <v>1021</v>
      </c>
      <c r="G51" t="s">
        <v>449</v>
      </c>
    </row>
    <row r="52" spans="1:7">
      <c r="A52" s="14">
        <v>12003</v>
      </c>
      <c r="B52" t="s">
        <v>784</v>
      </c>
      <c r="C52" t="s">
        <v>785</v>
      </c>
      <c r="E52" t="s">
        <v>65</v>
      </c>
      <c r="F52" t="s">
        <v>1021</v>
      </c>
      <c r="G52" t="s">
        <v>449</v>
      </c>
    </row>
    <row r="53" spans="1:7">
      <c r="A53" s="14">
        <v>12004</v>
      </c>
      <c r="B53" t="s">
        <v>798</v>
      </c>
      <c r="C53" t="s">
        <v>799</v>
      </c>
      <c r="E53" t="s">
        <v>65</v>
      </c>
      <c r="F53" t="s">
        <v>1021</v>
      </c>
      <c r="G53" t="s">
        <v>446</v>
      </c>
    </row>
    <row r="54" spans="1:7">
      <c r="A54" s="14">
        <v>13001</v>
      </c>
      <c r="B54" t="s">
        <v>403</v>
      </c>
      <c r="C54" t="s">
        <v>404</v>
      </c>
      <c r="E54" t="s">
        <v>70</v>
      </c>
      <c r="F54" t="s">
        <v>1023</v>
      </c>
      <c r="G54" t="s">
        <v>402</v>
      </c>
    </row>
    <row r="55" spans="1:7">
      <c r="A55" s="14">
        <v>13002</v>
      </c>
      <c r="B55" t="s">
        <v>412</v>
      </c>
      <c r="C55" t="s">
        <v>413</v>
      </c>
      <c r="E55" t="s">
        <v>70</v>
      </c>
      <c r="F55" t="s">
        <v>1021</v>
      </c>
      <c r="G55" t="s">
        <v>414</v>
      </c>
    </row>
    <row r="56" spans="1:7">
      <c r="A56" s="14">
        <v>13003</v>
      </c>
      <c r="B56" t="s">
        <v>495</v>
      </c>
      <c r="C56" t="s">
        <v>496</v>
      </c>
      <c r="E56" t="s">
        <v>70</v>
      </c>
      <c r="F56" t="s">
        <v>1023</v>
      </c>
      <c r="G56" t="s">
        <v>407</v>
      </c>
    </row>
    <row r="57" spans="1:7">
      <c r="A57" s="14">
        <v>13004</v>
      </c>
      <c r="B57" t="s">
        <v>505</v>
      </c>
      <c r="C57" t="s">
        <v>506</v>
      </c>
      <c r="E57" t="s">
        <v>70</v>
      </c>
      <c r="F57" t="s">
        <v>1023</v>
      </c>
      <c r="G57" t="s">
        <v>425</v>
      </c>
    </row>
    <row r="58" spans="1:7">
      <c r="A58" s="14">
        <v>13005</v>
      </c>
      <c r="B58" t="s">
        <v>531</v>
      </c>
      <c r="C58" t="s">
        <v>532</v>
      </c>
      <c r="E58" t="s">
        <v>70</v>
      </c>
      <c r="F58" t="s">
        <v>1023</v>
      </c>
      <c r="G58" t="s">
        <v>407</v>
      </c>
    </row>
    <row r="59" spans="1:7">
      <c r="A59" s="14">
        <v>13006</v>
      </c>
      <c r="B59" t="s">
        <v>534</v>
      </c>
      <c r="C59" t="s">
        <v>535</v>
      </c>
      <c r="E59" t="s">
        <v>70</v>
      </c>
      <c r="F59" t="s">
        <v>1023</v>
      </c>
      <c r="G59" t="s">
        <v>402</v>
      </c>
    </row>
    <row r="60" spans="1:7">
      <c r="A60" s="14">
        <v>13007</v>
      </c>
      <c r="B60" t="s">
        <v>536</v>
      </c>
      <c r="C60" t="s">
        <v>538</v>
      </c>
      <c r="E60" t="s">
        <v>70</v>
      </c>
      <c r="F60" t="s">
        <v>1023</v>
      </c>
      <c r="G60" t="s">
        <v>414</v>
      </c>
    </row>
    <row r="61" spans="1:7">
      <c r="A61" s="14">
        <v>13008</v>
      </c>
      <c r="B61" t="s">
        <v>702</v>
      </c>
      <c r="C61" t="s">
        <v>705</v>
      </c>
      <c r="E61" t="s">
        <v>70</v>
      </c>
      <c r="F61" t="s">
        <v>1023</v>
      </c>
      <c r="G61" t="s">
        <v>425</v>
      </c>
    </row>
    <row r="62" spans="1:7">
      <c r="A62" s="14">
        <v>13009</v>
      </c>
      <c r="B62" t="s">
        <v>879</v>
      </c>
      <c r="C62" t="s">
        <v>881</v>
      </c>
      <c r="E62" t="s">
        <v>70</v>
      </c>
      <c r="F62" t="s">
        <v>1023</v>
      </c>
      <c r="G62" t="s">
        <v>425</v>
      </c>
    </row>
    <row r="63" spans="1:7">
      <c r="A63" s="14">
        <v>13010</v>
      </c>
      <c r="B63" t="s">
        <v>958</v>
      </c>
      <c r="C63" t="s">
        <v>959</v>
      </c>
      <c r="E63" t="s">
        <v>70</v>
      </c>
      <c r="F63" t="s">
        <v>1023</v>
      </c>
      <c r="G63" t="s">
        <v>407</v>
      </c>
    </row>
    <row r="64" spans="1:7">
      <c r="A64" s="14">
        <v>13011</v>
      </c>
      <c r="B64" t="s">
        <v>999</v>
      </c>
      <c r="C64" t="s">
        <v>1000</v>
      </c>
      <c r="E64" t="s">
        <v>70</v>
      </c>
      <c r="F64" t="s">
        <v>1023</v>
      </c>
      <c r="G64" t="s">
        <v>407</v>
      </c>
    </row>
    <row r="65" spans="1:7">
      <c r="A65" s="14">
        <v>13012</v>
      </c>
      <c r="B65" t="s">
        <v>1011</v>
      </c>
      <c r="C65" t="s">
        <v>1012</v>
      </c>
      <c r="E65" t="s">
        <v>70</v>
      </c>
      <c r="F65" t="s">
        <v>1023</v>
      </c>
      <c r="G65" t="s">
        <v>402</v>
      </c>
    </row>
    <row r="66" spans="1:7">
      <c r="A66" s="14">
        <v>14001</v>
      </c>
      <c r="B66" t="s">
        <v>415</v>
      </c>
      <c r="C66" t="s">
        <v>416</v>
      </c>
      <c r="E66" t="s">
        <v>83</v>
      </c>
      <c r="F66" t="s">
        <v>1021</v>
      </c>
      <c r="G66" t="s">
        <v>417</v>
      </c>
    </row>
    <row r="67" spans="1:7">
      <c r="A67" s="14">
        <v>14002</v>
      </c>
      <c r="B67" t="s">
        <v>441</v>
      </c>
      <c r="C67" t="s">
        <v>442</v>
      </c>
      <c r="E67" t="s">
        <v>83</v>
      </c>
      <c r="F67" t="s">
        <v>1021</v>
      </c>
      <c r="G67" t="s">
        <v>417</v>
      </c>
    </row>
    <row r="68" spans="1:7">
      <c r="A68" s="14">
        <v>14003</v>
      </c>
      <c r="B68" t="s">
        <v>469</v>
      </c>
      <c r="C68" t="s">
        <v>471</v>
      </c>
      <c r="E68" t="s">
        <v>83</v>
      </c>
      <c r="F68" t="s">
        <v>1021</v>
      </c>
      <c r="G68" t="s">
        <v>414</v>
      </c>
    </row>
    <row r="69" spans="1:7">
      <c r="A69" s="14">
        <v>14004</v>
      </c>
      <c r="B69" t="s">
        <v>516</v>
      </c>
      <c r="C69" t="s">
        <v>517</v>
      </c>
      <c r="E69" t="s">
        <v>83</v>
      </c>
      <c r="F69" t="s">
        <v>1021</v>
      </c>
      <c r="G69" t="s">
        <v>417</v>
      </c>
    </row>
    <row r="70" spans="1:7">
      <c r="A70" s="14">
        <v>14005</v>
      </c>
      <c r="B70" t="s">
        <v>522</v>
      </c>
      <c r="C70" t="s">
        <v>523</v>
      </c>
      <c r="E70" t="s">
        <v>83</v>
      </c>
      <c r="F70" t="s">
        <v>1021</v>
      </c>
      <c r="G70" t="s">
        <v>449</v>
      </c>
    </row>
    <row r="71" spans="1:7">
      <c r="A71" s="14">
        <v>14006</v>
      </c>
      <c r="B71" t="s">
        <v>529</v>
      </c>
      <c r="C71" t="s">
        <v>530</v>
      </c>
      <c r="E71" t="s">
        <v>83</v>
      </c>
      <c r="F71" t="s">
        <v>1021</v>
      </c>
      <c r="G71" t="s">
        <v>414</v>
      </c>
    </row>
    <row r="72" spans="1:7">
      <c r="A72" s="14">
        <v>14007</v>
      </c>
      <c r="B72" t="s">
        <v>577</v>
      </c>
      <c r="C72" t="s">
        <v>578</v>
      </c>
      <c r="E72" t="s">
        <v>83</v>
      </c>
      <c r="F72" t="s">
        <v>1021</v>
      </c>
      <c r="G72" t="s">
        <v>449</v>
      </c>
    </row>
    <row r="73" spans="1:7">
      <c r="A73" s="14">
        <v>14008</v>
      </c>
      <c r="B73" t="s">
        <v>616</v>
      </c>
      <c r="C73" t="s">
        <v>617</v>
      </c>
      <c r="E73" t="s">
        <v>83</v>
      </c>
      <c r="F73" t="s">
        <v>1021</v>
      </c>
      <c r="G73" t="s">
        <v>414</v>
      </c>
    </row>
    <row r="74" spans="1:7">
      <c r="A74" s="14">
        <v>14009</v>
      </c>
      <c r="B74" t="s">
        <v>639</v>
      </c>
      <c r="C74" t="s">
        <v>640</v>
      </c>
      <c r="E74" t="s">
        <v>83</v>
      </c>
      <c r="F74" t="s">
        <v>1021</v>
      </c>
      <c r="G74" t="s">
        <v>417</v>
      </c>
    </row>
    <row r="75" spans="1:7">
      <c r="A75" s="14">
        <v>14010</v>
      </c>
      <c r="B75" t="s">
        <v>651</v>
      </c>
      <c r="C75" t="s">
        <v>652</v>
      </c>
      <c r="E75" t="s">
        <v>83</v>
      </c>
      <c r="F75" t="s">
        <v>1021</v>
      </c>
      <c r="G75" t="s">
        <v>417</v>
      </c>
    </row>
    <row r="76" spans="1:7">
      <c r="A76" s="14">
        <v>14011</v>
      </c>
      <c r="B76" t="s">
        <v>686</v>
      </c>
      <c r="C76" t="s">
        <v>689</v>
      </c>
      <c r="E76" t="s">
        <v>83</v>
      </c>
      <c r="F76" t="s">
        <v>1021</v>
      </c>
      <c r="G76" t="s">
        <v>417</v>
      </c>
    </row>
    <row r="77" spans="1:7">
      <c r="A77" s="14">
        <v>14012</v>
      </c>
      <c r="B77" t="s">
        <v>691</v>
      </c>
      <c r="C77" t="s">
        <v>692</v>
      </c>
      <c r="E77" t="s">
        <v>83</v>
      </c>
      <c r="F77" t="s">
        <v>1021</v>
      </c>
      <c r="G77" t="s">
        <v>414</v>
      </c>
    </row>
    <row r="78" spans="1:7">
      <c r="A78" s="14">
        <v>14013</v>
      </c>
      <c r="B78" t="s">
        <v>706</v>
      </c>
      <c r="C78" t="s">
        <v>707</v>
      </c>
      <c r="E78" t="s">
        <v>83</v>
      </c>
      <c r="F78" t="s">
        <v>1021</v>
      </c>
      <c r="G78" t="s">
        <v>414</v>
      </c>
    </row>
    <row r="79" spans="1:7">
      <c r="A79" s="14">
        <v>14014</v>
      </c>
      <c r="B79" t="s">
        <v>720</v>
      </c>
      <c r="C79" t="s">
        <v>721</v>
      </c>
      <c r="E79" t="s">
        <v>83</v>
      </c>
      <c r="F79" t="s">
        <v>1021</v>
      </c>
      <c r="G79" t="s">
        <v>417</v>
      </c>
    </row>
    <row r="80" spans="1:7">
      <c r="A80" s="14">
        <v>14015</v>
      </c>
      <c r="B80" t="s">
        <v>755</v>
      </c>
      <c r="C80" t="s">
        <v>756</v>
      </c>
      <c r="E80" t="s">
        <v>83</v>
      </c>
      <c r="F80" t="s">
        <v>1021</v>
      </c>
      <c r="G80" t="s">
        <v>417</v>
      </c>
    </row>
    <row r="81" spans="1:7">
      <c r="A81" s="14">
        <v>14016</v>
      </c>
      <c r="B81" t="s">
        <v>806</v>
      </c>
      <c r="C81" t="s">
        <v>807</v>
      </c>
      <c r="E81" t="s">
        <v>83</v>
      </c>
      <c r="F81" t="s">
        <v>1021</v>
      </c>
      <c r="G81" t="s">
        <v>414</v>
      </c>
    </row>
    <row r="82" spans="1:7">
      <c r="A82" s="14">
        <v>14017</v>
      </c>
      <c r="B82" t="s">
        <v>806</v>
      </c>
      <c r="C82" t="s">
        <v>808</v>
      </c>
      <c r="E82" t="s">
        <v>83</v>
      </c>
      <c r="F82" t="s">
        <v>1021</v>
      </c>
      <c r="G82" t="s">
        <v>446</v>
      </c>
    </row>
    <row r="83" spans="1:7">
      <c r="A83" s="14">
        <v>14018</v>
      </c>
      <c r="B83" t="s">
        <v>823</v>
      </c>
      <c r="C83" t="s">
        <v>825</v>
      </c>
      <c r="E83" t="s">
        <v>83</v>
      </c>
      <c r="F83" t="s">
        <v>1021</v>
      </c>
      <c r="G83" t="s">
        <v>414</v>
      </c>
    </row>
    <row r="84" spans="1:7">
      <c r="A84" s="14">
        <v>14019</v>
      </c>
      <c r="B84" t="s">
        <v>827</v>
      </c>
      <c r="C84" t="s">
        <v>825</v>
      </c>
      <c r="E84" t="s">
        <v>83</v>
      </c>
      <c r="F84" t="s">
        <v>1021</v>
      </c>
      <c r="G84" t="s">
        <v>414</v>
      </c>
    </row>
    <row r="85" spans="1:7">
      <c r="A85" s="14">
        <v>14020</v>
      </c>
      <c r="B85" t="s">
        <v>832</v>
      </c>
      <c r="C85" t="s">
        <v>833</v>
      </c>
      <c r="E85" t="s">
        <v>83</v>
      </c>
      <c r="F85" t="s">
        <v>1021</v>
      </c>
      <c r="G85" t="s">
        <v>446</v>
      </c>
    </row>
    <row r="86" spans="1:7">
      <c r="A86" s="14">
        <v>14021</v>
      </c>
      <c r="B86" t="s">
        <v>851</v>
      </c>
      <c r="C86" t="s">
        <v>852</v>
      </c>
      <c r="E86" t="s">
        <v>83</v>
      </c>
      <c r="F86" t="s">
        <v>1021</v>
      </c>
      <c r="G86" t="s">
        <v>417</v>
      </c>
    </row>
    <row r="87" spans="1:7">
      <c r="A87" s="14">
        <v>14022</v>
      </c>
      <c r="B87" t="s">
        <v>853</v>
      </c>
      <c r="C87" t="s">
        <v>854</v>
      </c>
      <c r="E87" t="s">
        <v>83</v>
      </c>
      <c r="F87" t="s">
        <v>1021</v>
      </c>
      <c r="G87" t="s">
        <v>449</v>
      </c>
    </row>
    <row r="88" spans="1:7">
      <c r="A88" s="14">
        <v>14023</v>
      </c>
      <c r="B88" t="s">
        <v>829</v>
      </c>
      <c r="C88" t="s">
        <v>474</v>
      </c>
      <c r="E88" t="s">
        <v>83</v>
      </c>
      <c r="F88" t="s">
        <v>1021</v>
      </c>
      <c r="G88" t="s">
        <v>417</v>
      </c>
    </row>
    <row r="89" spans="1:7">
      <c r="A89" s="14">
        <v>14024</v>
      </c>
      <c r="B89" t="s">
        <v>872</v>
      </c>
      <c r="C89" t="s">
        <v>873</v>
      </c>
      <c r="E89" t="s">
        <v>83</v>
      </c>
      <c r="F89" t="s">
        <v>1021</v>
      </c>
      <c r="G89" t="s">
        <v>414</v>
      </c>
    </row>
    <row r="90" spans="1:7">
      <c r="A90" s="14">
        <v>14025</v>
      </c>
      <c r="B90" t="s">
        <v>879</v>
      </c>
      <c r="C90" t="s">
        <v>880</v>
      </c>
      <c r="E90" t="s">
        <v>83</v>
      </c>
      <c r="F90" t="s">
        <v>1021</v>
      </c>
      <c r="G90" t="s">
        <v>417</v>
      </c>
    </row>
    <row r="91" spans="1:7">
      <c r="A91" s="14">
        <v>14026</v>
      </c>
      <c r="B91" t="s">
        <v>889</v>
      </c>
      <c r="C91" t="s">
        <v>554</v>
      </c>
      <c r="E91" t="s">
        <v>83</v>
      </c>
      <c r="F91" t="s">
        <v>1021</v>
      </c>
      <c r="G91" t="s">
        <v>417</v>
      </c>
    </row>
    <row r="92" spans="1:7">
      <c r="A92" s="14">
        <v>14027</v>
      </c>
      <c r="B92" t="s">
        <v>903</v>
      </c>
      <c r="C92" t="s">
        <v>904</v>
      </c>
      <c r="E92" t="s">
        <v>83</v>
      </c>
      <c r="F92" t="s">
        <v>1021</v>
      </c>
      <c r="G92" t="s">
        <v>414</v>
      </c>
    </row>
    <row r="93" spans="1:7">
      <c r="A93" s="14">
        <v>14028</v>
      </c>
      <c r="B93" t="s">
        <v>909</v>
      </c>
      <c r="C93" t="s">
        <v>910</v>
      </c>
      <c r="E93" t="s">
        <v>83</v>
      </c>
      <c r="F93" t="s">
        <v>1021</v>
      </c>
      <c r="G93" t="s">
        <v>417</v>
      </c>
    </row>
    <row r="94" spans="1:7">
      <c r="A94" s="14">
        <v>14029</v>
      </c>
      <c r="B94" t="s">
        <v>926</v>
      </c>
      <c r="C94" t="s">
        <v>927</v>
      </c>
      <c r="E94" t="s">
        <v>83</v>
      </c>
      <c r="F94" t="s">
        <v>1021</v>
      </c>
      <c r="G94" t="s">
        <v>449</v>
      </c>
    </row>
    <row r="95" spans="1:7">
      <c r="A95" s="14">
        <v>14030</v>
      </c>
      <c r="B95" t="s">
        <v>942</v>
      </c>
      <c r="C95" t="s">
        <v>943</v>
      </c>
      <c r="E95" t="s">
        <v>83</v>
      </c>
      <c r="F95" t="s">
        <v>1021</v>
      </c>
      <c r="G95" t="s">
        <v>449</v>
      </c>
    </row>
    <row r="96" spans="1:7">
      <c r="A96" s="14">
        <v>14031</v>
      </c>
      <c r="B96" t="s">
        <v>958</v>
      </c>
      <c r="C96" t="s">
        <v>960</v>
      </c>
      <c r="E96" t="s">
        <v>83</v>
      </c>
      <c r="F96" t="s">
        <v>1021</v>
      </c>
      <c r="G96" t="s">
        <v>414</v>
      </c>
    </row>
    <row r="97" spans="1:7">
      <c r="A97" s="14">
        <v>14032</v>
      </c>
      <c r="B97" t="s">
        <v>962</v>
      </c>
      <c r="C97" t="s">
        <v>963</v>
      </c>
      <c r="E97" t="s">
        <v>83</v>
      </c>
      <c r="F97" t="s">
        <v>1021</v>
      </c>
      <c r="G97" t="s">
        <v>414</v>
      </c>
    </row>
    <row r="98" spans="1:7">
      <c r="A98" s="14">
        <v>14033</v>
      </c>
      <c r="B98" t="s">
        <v>1001</v>
      </c>
      <c r="C98" t="s">
        <v>1002</v>
      </c>
      <c r="E98" t="s">
        <v>83</v>
      </c>
      <c r="F98" t="s">
        <v>1021</v>
      </c>
      <c r="G98" t="s">
        <v>449</v>
      </c>
    </row>
    <row r="99" spans="1:7">
      <c r="A99" s="14">
        <v>14034</v>
      </c>
      <c r="B99" t="s">
        <v>1007</v>
      </c>
      <c r="C99" t="s">
        <v>1008</v>
      </c>
      <c r="E99" t="s">
        <v>83</v>
      </c>
      <c r="F99" t="s">
        <v>1021</v>
      </c>
      <c r="G99" t="s">
        <v>417</v>
      </c>
    </row>
    <row r="100" spans="1:7">
      <c r="A100" s="14">
        <v>14035</v>
      </c>
      <c r="B100" t="s">
        <v>1009</v>
      </c>
      <c r="C100" t="s">
        <v>683</v>
      </c>
      <c r="E100" t="s">
        <v>83</v>
      </c>
      <c r="F100" t="s">
        <v>1021</v>
      </c>
      <c r="G100" t="s">
        <v>449</v>
      </c>
    </row>
    <row r="101" spans="1:7">
      <c r="A101" s="14">
        <v>15001</v>
      </c>
      <c r="B101" t="s">
        <v>536</v>
      </c>
      <c r="C101" t="s">
        <v>537</v>
      </c>
      <c r="E101" t="s">
        <v>119</v>
      </c>
      <c r="F101" t="s">
        <v>1023</v>
      </c>
      <c r="G101" t="s">
        <v>458</v>
      </c>
    </row>
    <row r="102" spans="1:7">
      <c r="A102" s="14">
        <v>15002</v>
      </c>
      <c r="B102" t="s">
        <v>609</v>
      </c>
      <c r="C102" t="s">
        <v>611</v>
      </c>
      <c r="E102" t="s">
        <v>119</v>
      </c>
      <c r="F102" t="s">
        <v>1023</v>
      </c>
      <c r="G102" t="s">
        <v>402</v>
      </c>
    </row>
    <row r="103" spans="1:7">
      <c r="A103" s="14">
        <v>15003</v>
      </c>
      <c r="B103" t="s">
        <v>763</v>
      </c>
      <c r="C103" t="s">
        <v>764</v>
      </c>
      <c r="E103" t="s">
        <v>119</v>
      </c>
      <c r="F103" t="s">
        <v>1023</v>
      </c>
      <c r="G103" t="s">
        <v>402</v>
      </c>
    </row>
    <row r="104" spans="1:7">
      <c r="A104" s="14">
        <v>15004</v>
      </c>
      <c r="B104" t="s">
        <v>787</v>
      </c>
      <c r="C104" t="s">
        <v>788</v>
      </c>
      <c r="E104" t="s">
        <v>119</v>
      </c>
      <c r="F104" t="s">
        <v>1023</v>
      </c>
      <c r="G104" t="s">
        <v>425</v>
      </c>
    </row>
    <row r="105" spans="1:7">
      <c r="A105" s="14">
        <v>15005</v>
      </c>
      <c r="B105" t="s">
        <v>857</v>
      </c>
      <c r="C105" t="s">
        <v>858</v>
      </c>
      <c r="E105" t="s">
        <v>119</v>
      </c>
      <c r="F105" t="s">
        <v>1023</v>
      </c>
      <c r="G105" t="s">
        <v>458</v>
      </c>
    </row>
    <row r="106" spans="1:7">
      <c r="A106" s="14">
        <v>15006</v>
      </c>
      <c r="B106" t="s">
        <v>938</v>
      </c>
      <c r="C106" t="s">
        <v>939</v>
      </c>
      <c r="E106" t="s">
        <v>119</v>
      </c>
      <c r="F106" t="s">
        <v>1023</v>
      </c>
      <c r="G106" t="s">
        <v>402</v>
      </c>
    </row>
    <row r="107" spans="1:7">
      <c r="A107" s="14">
        <v>15007</v>
      </c>
      <c r="B107" t="s">
        <v>975</v>
      </c>
      <c r="C107" t="s">
        <v>976</v>
      </c>
      <c r="E107" t="s">
        <v>119</v>
      </c>
      <c r="F107" t="s">
        <v>1023</v>
      </c>
      <c r="G107" t="s">
        <v>402</v>
      </c>
    </row>
    <row r="108" spans="1:7">
      <c r="A108" s="14">
        <v>15008</v>
      </c>
      <c r="B108" t="s">
        <v>989</v>
      </c>
      <c r="C108" t="s">
        <v>990</v>
      </c>
      <c r="E108" t="s">
        <v>119</v>
      </c>
      <c r="F108" t="s">
        <v>1023</v>
      </c>
      <c r="G108" t="s">
        <v>458</v>
      </c>
    </row>
    <row r="109" spans="1:7">
      <c r="A109" s="14">
        <v>20006</v>
      </c>
      <c r="B109" t="s">
        <v>452</v>
      </c>
      <c r="C109" t="s">
        <v>453</v>
      </c>
      <c r="E109" t="s">
        <v>128</v>
      </c>
      <c r="F109" t="s">
        <v>1021</v>
      </c>
      <c r="G109" t="s">
        <v>417</v>
      </c>
    </row>
    <row r="110" spans="1:7">
      <c r="A110" s="14">
        <v>20043</v>
      </c>
      <c r="B110" t="s">
        <v>877</v>
      </c>
      <c r="C110" t="s">
        <v>878</v>
      </c>
      <c r="E110" t="s">
        <v>128</v>
      </c>
      <c r="F110" t="s">
        <v>1021</v>
      </c>
      <c r="G110" t="s">
        <v>417</v>
      </c>
    </row>
    <row r="111" spans="1:7">
      <c r="A111" s="14">
        <v>20005</v>
      </c>
      <c r="B111" t="s">
        <v>447</v>
      </c>
      <c r="C111" t="s">
        <v>448</v>
      </c>
      <c r="E111" t="s">
        <v>128</v>
      </c>
      <c r="F111" t="s">
        <v>1021</v>
      </c>
      <c r="G111" t="s">
        <v>449</v>
      </c>
    </row>
    <row r="112" spans="1:7">
      <c r="A112" s="14">
        <v>20020</v>
      </c>
      <c r="B112" t="s">
        <v>605</v>
      </c>
      <c r="C112" t="s">
        <v>606</v>
      </c>
      <c r="E112" t="s">
        <v>128</v>
      </c>
      <c r="F112" t="s">
        <v>1021</v>
      </c>
      <c r="G112" t="s">
        <v>446</v>
      </c>
    </row>
    <row r="113" spans="1:7">
      <c r="A113" s="14">
        <v>20045</v>
      </c>
      <c r="B113" t="s">
        <v>899</v>
      </c>
      <c r="C113" t="s">
        <v>900</v>
      </c>
      <c r="E113" t="s">
        <v>128</v>
      </c>
      <c r="F113" t="s">
        <v>1021</v>
      </c>
      <c r="G113" t="s">
        <v>446</v>
      </c>
    </row>
    <row r="114" spans="1:7">
      <c r="A114" s="14">
        <v>20001</v>
      </c>
      <c r="B114" t="s">
        <v>408</v>
      </c>
      <c r="C114" t="s">
        <v>409</v>
      </c>
      <c r="E114" t="s">
        <v>128</v>
      </c>
      <c r="F114" t="s">
        <v>1023</v>
      </c>
      <c r="G114" t="s">
        <v>402</v>
      </c>
    </row>
    <row r="115" spans="1:7">
      <c r="A115" s="14">
        <v>20002</v>
      </c>
      <c r="B115" t="s">
        <v>434</v>
      </c>
      <c r="C115" t="s">
        <v>435</v>
      </c>
      <c r="E115" t="s">
        <v>128</v>
      </c>
      <c r="F115" t="s">
        <v>1023</v>
      </c>
      <c r="G115" t="s">
        <v>402</v>
      </c>
    </row>
    <row r="116" spans="1:7">
      <c r="A116" s="14">
        <v>20004</v>
      </c>
      <c r="B116" t="s">
        <v>443</v>
      </c>
      <c r="C116" t="s">
        <v>444</v>
      </c>
      <c r="E116" t="s">
        <v>128</v>
      </c>
      <c r="F116" t="s">
        <v>1023</v>
      </c>
      <c r="G116" t="s">
        <v>402</v>
      </c>
    </row>
    <row r="117" spans="1:7">
      <c r="A117" s="14">
        <v>20014</v>
      </c>
      <c r="B117" t="s">
        <v>545</v>
      </c>
      <c r="C117" t="s">
        <v>546</v>
      </c>
      <c r="E117" t="s">
        <v>128</v>
      </c>
      <c r="F117" t="s">
        <v>1023</v>
      </c>
      <c r="G117" t="s">
        <v>402</v>
      </c>
    </row>
    <row r="118" spans="1:7">
      <c r="A118" s="14">
        <v>20017</v>
      </c>
      <c r="B118" t="s">
        <v>569</v>
      </c>
      <c r="C118" t="s">
        <v>570</v>
      </c>
      <c r="E118" t="s">
        <v>128</v>
      </c>
      <c r="F118" t="s">
        <v>1023</v>
      </c>
      <c r="G118" t="s">
        <v>402</v>
      </c>
    </row>
    <row r="119" spans="1:7">
      <c r="A119" s="14">
        <v>20023</v>
      </c>
      <c r="B119" t="s">
        <v>635</v>
      </c>
      <c r="C119" t="s">
        <v>636</v>
      </c>
      <c r="E119" t="s">
        <v>128</v>
      </c>
      <c r="F119" t="s">
        <v>1023</v>
      </c>
      <c r="G119" t="s">
        <v>402</v>
      </c>
    </row>
    <row r="120" spans="1:7">
      <c r="A120" s="14">
        <v>20025</v>
      </c>
      <c r="B120" t="s">
        <v>655</v>
      </c>
      <c r="C120" t="s">
        <v>656</v>
      </c>
      <c r="E120" t="s">
        <v>128</v>
      </c>
      <c r="F120" t="s">
        <v>1023</v>
      </c>
      <c r="G120" t="s">
        <v>402</v>
      </c>
    </row>
    <row r="121" spans="1:7">
      <c r="A121" s="14">
        <v>20026</v>
      </c>
      <c r="B121" t="s">
        <v>678</v>
      </c>
      <c r="C121" t="s">
        <v>679</v>
      </c>
      <c r="E121" t="s">
        <v>128</v>
      </c>
      <c r="F121" t="s">
        <v>1023</v>
      </c>
      <c r="G121" t="s">
        <v>402</v>
      </c>
    </row>
    <row r="122" spans="1:7">
      <c r="A122" s="14">
        <v>20027</v>
      </c>
      <c r="B122" t="s">
        <v>698</v>
      </c>
      <c r="C122" t="s">
        <v>699</v>
      </c>
      <c r="E122" t="s">
        <v>128</v>
      </c>
      <c r="F122" t="s">
        <v>1023</v>
      </c>
      <c r="G122" t="s">
        <v>402</v>
      </c>
    </row>
    <row r="123" spans="1:7">
      <c r="A123" s="14">
        <v>20028</v>
      </c>
      <c r="B123" t="s">
        <v>708</v>
      </c>
      <c r="C123" t="s">
        <v>709</v>
      </c>
      <c r="E123" t="s">
        <v>128</v>
      </c>
      <c r="F123" t="s">
        <v>1023</v>
      </c>
      <c r="G123" t="s">
        <v>402</v>
      </c>
    </row>
    <row r="124" spans="1:7">
      <c r="A124" s="14">
        <v>20041</v>
      </c>
      <c r="B124" t="s">
        <v>867</v>
      </c>
      <c r="C124" t="s">
        <v>871</v>
      </c>
      <c r="E124" t="s">
        <v>128</v>
      </c>
      <c r="F124" t="s">
        <v>1023</v>
      </c>
      <c r="G124" t="s">
        <v>402</v>
      </c>
    </row>
    <row r="125" spans="1:7">
      <c r="A125" s="14">
        <v>20048</v>
      </c>
      <c r="B125" t="s">
        <v>918</v>
      </c>
      <c r="C125" t="s">
        <v>919</v>
      </c>
      <c r="E125" t="s">
        <v>128</v>
      </c>
      <c r="F125" t="s">
        <v>1023</v>
      </c>
      <c r="G125" t="s">
        <v>402</v>
      </c>
    </row>
    <row r="126" spans="1:7">
      <c r="A126" s="14">
        <v>20053</v>
      </c>
      <c r="B126" t="s">
        <v>955</v>
      </c>
      <c r="C126" t="s">
        <v>546</v>
      </c>
      <c r="E126" t="s">
        <v>128</v>
      </c>
      <c r="F126" t="s">
        <v>1023</v>
      </c>
      <c r="G126" t="s">
        <v>402</v>
      </c>
    </row>
    <row r="127" spans="1:7">
      <c r="A127" s="14">
        <v>20055</v>
      </c>
      <c r="B127" t="s">
        <v>962</v>
      </c>
      <c r="C127" t="s">
        <v>964</v>
      </c>
      <c r="E127" t="s">
        <v>128</v>
      </c>
      <c r="F127" t="s">
        <v>1023</v>
      </c>
      <c r="G127" t="s">
        <v>402</v>
      </c>
    </row>
    <row r="128" spans="1:7">
      <c r="A128" s="14">
        <v>20007</v>
      </c>
      <c r="B128" t="s">
        <v>459</v>
      </c>
      <c r="C128" t="s">
        <v>460</v>
      </c>
      <c r="E128" t="s">
        <v>128</v>
      </c>
      <c r="F128" t="s">
        <v>1023</v>
      </c>
      <c r="G128" t="s">
        <v>425</v>
      </c>
    </row>
    <row r="129" spans="1:7">
      <c r="A129" s="14">
        <v>20008</v>
      </c>
      <c r="B129" t="s">
        <v>483</v>
      </c>
      <c r="C129" t="s">
        <v>484</v>
      </c>
      <c r="E129" t="s">
        <v>128</v>
      </c>
      <c r="F129" t="s">
        <v>1023</v>
      </c>
      <c r="G129" t="s">
        <v>425</v>
      </c>
    </row>
    <row r="130" spans="1:7">
      <c r="A130" s="14">
        <v>20013</v>
      </c>
      <c r="B130" t="s">
        <v>533</v>
      </c>
      <c r="C130" t="s">
        <v>499</v>
      </c>
      <c r="E130" t="s">
        <v>128</v>
      </c>
      <c r="F130" t="s">
        <v>1023</v>
      </c>
      <c r="G130" t="s">
        <v>425</v>
      </c>
    </row>
    <row r="131" spans="1:7">
      <c r="A131" s="14">
        <v>20016</v>
      </c>
      <c r="B131" t="s">
        <v>562</v>
      </c>
      <c r="C131" t="s">
        <v>563</v>
      </c>
      <c r="E131" t="s">
        <v>128</v>
      </c>
      <c r="F131" t="s">
        <v>1023</v>
      </c>
      <c r="G131" t="s">
        <v>425</v>
      </c>
    </row>
    <row r="132" spans="1:7">
      <c r="A132" s="14">
        <v>20019</v>
      </c>
      <c r="B132" t="s">
        <v>585</v>
      </c>
      <c r="C132" t="s">
        <v>586</v>
      </c>
      <c r="E132" t="s">
        <v>128</v>
      </c>
      <c r="F132" t="s">
        <v>1023</v>
      </c>
      <c r="G132" t="s">
        <v>425</v>
      </c>
    </row>
    <row r="133" spans="1:7">
      <c r="A133" s="14">
        <v>20021</v>
      </c>
      <c r="B133" t="s">
        <v>609</v>
      </c>
      <c r="C133" t="s">
        <v>610</v>
      </c>
      <c r="E133" t="s">
        <v>128</v>
      </c>
      <c r="F133" t="s">
        <v>1023</v>
      </c>
      <c r="G133" t="s">
        <v>425</v>
      </c>
    </row>
    <row r="134" spans="1:7">
      <c r="A134" s="14">
        <v>20033</v>
      </c>
      <c r="B134" t="s">
        <v>779</v>
      </c>
      <c r="C134" t="s">
        <v>780</v>
      </c>
      <c r="E134" t="s">
        <v>128</v>
      </c>
      <c r="F134" t="s">
        <v>1023</v>
      </c>
      <c r="G134" t="s">
        <v>425</v>
      </c>
    </row>
    <row r="135" spans="1:7">
      <c r="A135" s="14">
        <v>20034</v>
      </c>
      <c r="B135" t="s">
        <v>809</v>
      </c>
      <c r="C135" t="s">
        <v>810</v>
      </c>
      <c r="E135" t="s">
        <v>128</v>
      </c>
      <c r="F135" t="s">
        <v>1023</v>
      </c>
      <c r="G135" t="s">
        <v>425</v>
      </c>
    </row>
    <row r="136" spans="1:7">
      <c r="A136" s="14">
        <v>20036</v>
      </c>
      <c r="B136" t="s">
        <v>836</v>
      </c>
      <c r="C136" t="s">
        <v>792</v>
      </c>
      <c r="E136" t="s">
        <v>128</v>
      </c>
      <c r="F136" t="s">
        <v>1023</v>
      </c>
      <c r="G136" t="s">
        <v>425</v>
      </c>
    </row>
    <row r="137" spans="1:7">
      <c r="A137" s="14">
        <v>20037</v>
      </c>
      <c r="B137" t="s">
        <v>836</v>
      </c>
      <c r="C137" t="s">
        <v>838</v>
      </c>
      <c r="E137" t="s">
        <v>128</v>
      </c>
      <c r="F137" t="s">
        <v>1023</v>
      </c>
      <c r="G137" t="s">
        <v>425</v>
      </c>
    </row>
    <row r="138" spans="1:7">
      <c r="A138" s="14">
        <v>20040</v>
      </c>
      <c r="B138" t="s">
        <v>867</v>
      </c>
      <c r="C138" t="s">
        <v>869</v>
      </c>
      <c r="E138" t="s">
        <v>128</v>
      </c>
      <c r="F138" t="s">
        <v>1023</v>
      </c>
      <c r="G138" t="s">
        <v>425</v>
      </c>
    </row>
    <row r="139" spans="1:7">
      <c r="A139" s="14">
        <v>20051</v>
      </c>
      <c r="B139" t="s">
        <v>944</v>
      </c>
      <c r="C139" t="s">
        <v>945</v>
      </c>
      <c r="E139" t="s">
        <v>128</v>
      </c>
      <c r="F139" t="s">
        <v>1023</v>
      </c>
      <c r="G139" t="s">
        <v>425</v>
      </c>
    </row>
    <row r="140" spans="1:7">
      <c r="A140" s="14">
        <v>20003</v>
      </c>
      <c r="B140" t="s">
        <v>439</v>
      </c>
      <c r="C140" t="s">
        <v>440</v>
      </c>
      <c r="E140" t="s">
        <v>128</v>
      </c>
      <c r="F140" t="s">
        <v>1023</v>
      </c>
      <c r="G140" t="s">
        <v>407</v>
      </c>
    </row>
    <row r="141" spans="1:7">
      <c r="A141" s="14">
        <v>20010</v>
      </c>
      <c r="B141" t="s">
        <v>501</v>
      </c>
      <c r="C141" t="s">
        <v>502</v>
      </c>
      <c r="E141" t="s">
        <v>128</v>
      </c>
      <c r="F141" t="s">
        <v>1023</v>
      </c>
      <c r="G141" t="s">
        <v>407</v>
      </c>
    </row>
    <row r="142" spans="1:7">
      <c r="A142" s="14">
        <v>20011</v>
      </c>
      <c r="B142" t="s">
        <v>520</v>
      </c>
      <c r="C142" t="s">
        <v>521</v>
      </c>
      <c r="E142" t="s">
        <v>128</v>
      </c>
      <c r="F142" t="s">
        <v>1023</v>
      </c>
      <c r="G142" t="s">
        <v>407</v>
      </c>
    </row>
    <row r="143" spans="1:7">
      <c r="A143" s="14">
        <v>20012</v>
      </c>
      <c r="B143" t="s">
        <v>524</v>
      </c>
      <c r="C143" t="s">
        <v>526</v>
      </c>
      <c r="E143" t="s">
        <v>128</v>
      </c>
      <c r="F143" t="s">
        <v>1023</v>
      </c>
      <c r="G143" t="s">
        <v>407</v>
      </c>
    </row>
    <row r="144" spans="1:7">
      <c r="A144" s="14">
        <v>20018</v>
      </c>
      <c r="B144" t="s">
        <v>571</v>
      </c>
      <c r="C144" t="s">
        <v>572</v>
      </c>
      <c r="E144" t="s">
        <v>128</v>
      </c>
      <c r="F144" t="s">
        <v>1023</v>
      </c>
      <c r="G144" t="s">
        <v>407</v>
      </c>
    </row>
    <row r="145" spans="1:7">
      <c r="A145" s="14">
        <v>20030</v>
      </c>
      <c r="B145" t="s">
        <v>747</v>
      </c>
      <c r="C145" t="s">
        <v>748</v>
      </c>
      <c r="E145" t="s">
        <v>128</v>
      </c>
      <c r="F145" t="s">
        <v>1023</v>
      </c>
      <c r="G145" t="s">
        <v>407</v>
      </c>
    </row>
    <row r="146" spans="1:7">
      <c r="A146" s="14">
        <v>20038</v>
      </c>
      <c r="B146" t="s">
        <v>855</v>
      </c>
      <c r="C146" t="s">
        <v>856</v>
      </c>
      <c r="E146" t="s">
        <v>128</v>
      </c>
      <c r="F146" t="s">
        <v>1023</v>
      </c>
      <c r="G146" t="s">
        <v>407</v>
      </c>
    </row>
    <row r="147" spans="1:7">
      <c r="A147" s="14">
        <v>20039</v>
      </c>
      <c r="B147" t="s">
        <v>860</v>
      </c>
      <c r="C147" t="s">
        <v>474</v>
      </c>
      <c r="E147" t="s">
        <v>128</v>
      </c>
      <c r="F147" t="s">
        <v>1023</v>
      </c>
      <c r="G147" t="s">
        <v>407</v>
      </c>
    </row>
    <row r="148" spans="1:7">
      <c r="A148" s="14">
        <v>20044</v>
      </c>
      <c r="B148" t="s">
        <v>895</v>
      </c>
      <c r="C148" t="s">
        <v>896</v>
      </c>
      <c r="E148" t="s">
        <v>128</v>
      </c>
      <c r="F148" t="s">
        <v>1023</v>
      </c>
      <c r="G148" t="s">
        <v>407</v>
      </c>
    </row>
    <row r="149" spans="1:7">
      <c r="A149" s="14">
        <v>20047</v>
      </c>
      <c r="B149" t="s">
        <v>913</v>
      </c>
      <c r="C149" t="s">
        <v>914</v>
      </c>
      <c r="E149" t="s">
        <v>128</v>
      </c>
      <c r="F149" t="s">
        <v>1023</v>
      </c>
      <c r="G149" t="s">
        <v>407</v>
      </c>
    </row>
    <row r="150" spans="1:7">
      <c r="A150" s="14">
        <v>20052</v>
      </c>
      <c r="B150" t="s">
        <v>953</v>
      </c>
      <c r="C150" t="s">
        <v>954</v>
      </c>
      <c r="E150" t="s">
        <v>128</v>
      </c>
      <c r="F150" t="s">
        <v>1023</v>
      </c>
      <c r="G150" t="s">
        <v>407</v>
      </c>
    </row>
    <row r="151" spans="1:7">
      <c r="A151" s="14">
        <v>20056</v>
      </c>
      <c r="B151" t="s">
        <v>977</v>
      </c>
      <c r="C151" t="s">
        <v>978</v>
      </c>
      <c r="E151" t="s">
        <v>128</v>
      </c>
      <c r="F151" t="s">
        <v>1023</v>
      </c>
      <c r="G151" t="s">
        <v>407</v>
      </c>
    </row>
    <row r="152" spans="1:7">
      <c r="A152" s="14">
        <v>20057</v>
      </c>
      <c r="B152" t="s">
        <v>995</v>
      </c>
      <c r="C152" t="s">
        <v>996</v>
      </c>
      <c r="E152" t="s">
        <v>128</v>
      </c>
      <c r="F152" t="s">
        <v>1023</v>
      </c>
      <c r="G152" t="s">
        <v>407</v>
      </c>
    </row>
    <row r="153" spans="1:7">
      <c r="A153" s="14">
        <v>20009</v>
      </c>
      <c r="B153" t="s">
        <v>490</v>
      </c>
      <c r="C153" t="s">
        <v>491</v>
      </c>
      <c r="E153" t="s">
        <v>128</v>
      </c>
      <c r="F153" t="s">
        <v>1023</v>
      </c>
      <c r="G153" t="s">
        <v>414</v>
      </c>
    </row>
    <row r="154" spans="1:7">
      <c r="A154" s="14">
        <v>20015</v>
      </c>
      <c r="B154" t="s">
        <v>548</v>
      </c>
      <c r="C154" t="s">
        <v>549</v>
      </c>
      <c r="E154" t="s">
        <v>128</v>
      </c>
      <c r="F154" t="s">
        <v>1021</v>
      </c>
      <c r="G154" t="s">
        <v>414</v>
      </c>
    </row>
    <row r="155" spans="1:7">
      <c r="A155" s="14">
        <v>20022</v>
      </c>
      <c r="B155" t="s">
        <v>612</v>
      </c>
      <c r="C155" t="s">
        <v>613</v>
      </c>
      <c r="E155" t="s">
        <v>128</v>
      </c>
      <c r="F155" t="s">
        <v>1021</v>
      </c>
      <c r="G155" t="s">
        <v>414</v>
      </c>
    </row>
    <row r="156" spans="1:7">
      <c r="A156" s="14">
        <v>20024</v>
      </c>
      <c r="B156" t="s">
        <v>649</v>
      </c>
      <c r="C156" t="s">
        <v>650</v>
      </c>
      <c r="E156" t="s">
        <v>128</v>
      </c>
      <c r="F156" t="s">
        <v>1021</v>
      </c>
      <c r="G156" t="s">
        <v>414</v>
      </c>
    </row>
    <row r="157" spans="1:7">
      <c r="A157" s="14">
        <v>20029</v>
      </c>
      <c r="B157" t="s">
        <v>745</v>
      </c>
      <c r="C157" t="s">
        <v>746</v>
      </c>
      <c r="E157" t="s">
        <v>128</v>
      </c>
      <c r="F157" t="s">
        <v>1021</v>
      </c>
      <c r="G157" t="s">
        <v>414</v>
      </c>
    </row>
    <row r="158" spans="1:7">
      <c r="A158" s="14">
        <v>20031</v>
      </c>
      <c r="B158" t="s">
        <v>765</v>
      </c>
      <c r="C158" t="s">
        <v>766</v>
      </c>
      <c r="E158" t="s">
        <v>128</v>
      </c>
      <c r="F158" t="s">
        <v>1021</v>
      </c>
      <c r="G158" t="s">
        <v>414</v>
      </c>
    </row>
    <row r="159" spans="1:7">
      <c r="A159" s="14">
        <v>20032</v>
      </c>
      <c r="B159" t="s">
        <v>773</v>
      </c>
      <c r="C159" t="s">
        <v>774</v>
      </c>
      <c r="E159" t="s">
        <v>128</v>
      </c>
      <c r="F159" t="s">
        <v>1021</v>
      </c>
      <c r="G159" t="s">
        <v>414</v>
      </c>
    </row>
    <row r="160" spans="1:7">
      <c r="A160" s="14">
        <v>20035</v>
      </c>
      <c r="B160" t="s">
        <v>830</v>
      </c>
      <c r="C160" t="s">
        <v>831</v>
      </c>
      <c r="E160" t="s">
        <v>128</v>
      </c>
      <c r="F160" t="s">
        <v>1021</v>
      </c>
      <c r="G160" t="s">
        <v>414</v>
      </c>
    </row>
    <row r="161" spans="1:7">
      <c r="A161" s="14">
        <v>20042</v>
      </c>
      <c r="B161" t="s">
        <v>867</v>
      </c>
      <c r="C161" t="s">
        <v>448</v>
      </c>
      <c r="E161" t="s">
        <v>128</v>
      </c>
      <c r="F161" t="s">
        <v>1021</v>
      </c>
      <c r="G161" t="s">
        <v>414</v>
      </c>
    </row>
    <row r="162" spans="1:7">
      <c r="A162" s="14">
        <v>20046</v>
      </c>
      <c r="B162" t="s">
        <v>912</v>
      </c>
      <c r="C162" t="s">
        <v>489</v>
      </c>
      <c r="E162" t="s">
        <v>128</v>
      </c>
      <c r="F162" t="s">
        <v>1021</v>
      </c>
      <c r="G162" t="s">
        <v>414</v>
      </c>
    </row>
    <row r="163" spans="1:7">
      <c r="A163" s="14">
        <v>20049</v>
      </c>
      <c r="B163" t="s">
        <v>934</v>
      </c>
      <c r="C163" t="s">
        <v>935</v>
      </c>
      <c r="E163" t="s">
        <v>128</v>
      </c>
      <c r="F163" t="s">
        <v>1021</v>
      </c>
      <c r="G163" t="s">
        <v>414</v>
      </c>
    </row>
    <row r="164" spans="1:7">
      <c r="A164" s="14">
        <v>20050</v>
      </c>
      <c r="B164" t="s">
        <v>936</v>
      </c>
      <c r="C164" t="s">
        <v>937</v>
      </c>
      <c r="E164" t="s">
        <v>128</v>
      </c>
      <c r="F164" t="s">
        <v>1021</v>
      </c>
      <c r="G164" t="s">
        <v>414</v>
      </c>
    </row>
    <row r="165" spans="1:7">
      <c r="A165" s="14">
        <v>20054</v>
      </c>
      <c r="B165" t="s">
        <v>961</v>
      </c>
      <c r="C165" t="s">
        <v>937</v>
      </c>
      <c r="E165" t="s">
        <v>128</v>
      </c>
      <c r="F165" t="s">
        <v>1021</v>
      </c>
      <c r="G165" t="s">
        <v>414</v>
      </c>
    </row>
    <row r="166" spans="1:7">
      <c r="A166" s="14">
        <v>30001</v>
      </c>
      <c r="B166" t="s">
        <v>507</v>
      </c>
      <c r="C166" t="s">
        <v>508</v>
      </c>
      <c r="E166" t="s">
        <v>186</v>
      </c>
      <c r="F166" t="s">
        <v>1021</v>
      </c>
      <c r="G166" t="s">
        <v>449</v>
      </c>
    </row>
    <row r="167" spans="1:7">
      <c r="A167" s="14">
        <v>30002</v>
      </c>
      <c r="B167" t="s">
        <v>541</v>
      </c>
      <c r="C167" t="s">
        <v>542</v>
      </c>
      <c r="E167" t="s">
        <v>186</v>
      </c>
      <c r="F167" t="s">
        <v>1021</v>
      </c>
      <c r="G167" t="s">
        <v>417</v>
      </c>
    </row>
    <row r="168" spans="1:7">
      <c r="A168" s="14">
        <v>30003</v>
      </c>
      <c r="B168" t="s">
        <v>550</v>
      </c>
      <c r="C168" t="s">
        <v>551</v>
      </c>
      <c r="E168" t="s">
        <v>186</v>
      </c>
      <c r="F168" t="s">
        <v>1021</v>
      </c>
      <c r="G168" t="s">
        <v>417</v>
      </c>
    </row>
    <row r="169" spans="1:7">
      <c r="A169" s="14">
        <v>30004</v>
      </c>
      <c r="B169" t="s">
        <v>558</v>
      </c>
      <c r="C169" t="s">
        <v>559</v>
      </c>
      <c r="E169" t="s">
        <v>186</v>
      </c>
      <c r="F169" t="s">
        <v>1021</v>
      </c>
      <c r="G169" t="s">
        <v>414</v>
      </c>
    </row>
    <row r="170" spans="1:7">
      <c r="A170" s="14">
        <v>30005</v>
      </c>
      <c r="B170" t="s">
        <v>631</v>
      </c>
      <c r="C170" t="s">
        <v>632</v>
      </c>
      <c r="E170" t="s">
        <v>186</v>
      </c>
      <c r="F170" t="s">
        <v>1021</v>
      </c>
      <c r="G170" t="s">
        <v>449</v>
      </c>
    </row>
    <row r="171" spans="1:7">
      <c r="A171" s="14">
        <v>30006</v>
      </c>
      <c r="B171" t="s">
        <v>637</v>
      </c>
      <c r="C171" t="s">
        <v>431</v>
      </c>
      <c r="E171" t="s">
        <v>186</v>
      </c>
      <c r="F171" t="s">
        <v>1021</v>
      </c>
      <c r="G171" t="s">
        <v>414</v>
      </c>
    </row>
    <row r="172" spans="1:7">
      <c r="A172" s="14">
        <v>30007</v>
      </c>
      <c r="B172" t="s">
        <v>724</v>
      </c>
      <c r="C172" t="s">
        <v>725</v>
      </c>
      <c r="E172" t="s">
        <v>186</v>
      </c>
      <c r="F172" t="s">
        <v>1021</v>
      </c>
      <c r="G172" t="s">
        <v>449</v>
      </c>
    </row>
    <row r="173" spans="1:7">
      <c r="A173" s="14">
        <v>30008</v>
      </c>
      <c r="B173" t="s">
        <v>743</v>
      </c>
      <c r="C173" t="s">
        <v>744</v>
      </c>
      <c r="E173" t="s">
        <v>186</v>
      </c>
      <c r="F173" t="s">
        <v>1021</v>
      </c>
      <c r="G173" t="s">
        <v>417</v>
      </c>
    </row>
    <row r="174" spans="1:7">
      <c r="A174" s="14">
        <v>30009</v>
      </c>
      <c r="B174" t="s">
        <v>770</v>
      </c>
      <c r="C174" t="s">
        <v>772</v>
      </c>
      <c r="E174" t="s">
        <v>186</v>
      </c>
      <c r="F174" t="s">
        <v>1021</v>
      </c>
      <c r="G174" t="s">
        <v>449</v>
      </c>
    </row>
    <row r="175" spans="1:7">
      <c r="A175" s="14">
        <v>30010</v>
      </c>
      <c r="B175" t="s">
        <v>847</v>
      </c>
      <c r="C175" t="s">
        <v>848</v>
      </c>
      <c r="E175" t="s">
        <v>186</v>
      </c>
      <c r="F175" t="s">
        <v>1021</v>
      </c>
      <c r="G175" t="s">
        <v>417</v>
      </c>
    </row>
    <row r="176" spans="1:7">
      <c r="A176" s="14">
        <v>30011</v>
      </c>
      <c r="B176" t="s">
        <v>874</v>
      </c>
      <c r="C176" t="s">
        <v>875</v>
      </c>
      <c r="E176" t="s">
        <v>186</v>
      </c>
      <c r="F176" t="s">
        <v>1021</v>
      </c>
      <c r="G176" t="s">
        <v>449</v>
      </c>
    </row>
    <row r="177" spans="1:7">
      <c r="A177" s="14">
        <v>30012</v>
      </c>
      <c r="B177" t="s">
        <v>876</v>
      </c>
      <c r="C177" t="s">
        <v>725</v>
      </c>
      <c r="E177" t="s">
        <v>186</v>
      </c>
      <c r="F177" t="s">
        <v>1021</v>
      </c>
      <c r="G177" t="s">
        <v>414</v>
      </c>
    </row>
    <row r="178" spans="1:7">
      <c r="A178" s="14">
        <v>30013</v>
      </c>
      <c r="B178" t="s">
        <v>887</v>
      </c>
      <c r="C178" t="s">
        <v>888</v>
      </c>
      <c r="E178" t="s">
        <v>186</v>
      </c>
      <c r="F178" t="s">
        <v>1021</v>
      </c>
      <c r="G178" t="s">
        <v>417</v>
      </c>
    </row>
    <row r="179" spans="1:7">
      <c r="A179" s="14">
        <v>30014</v>
      </c>
      <c r="B179" t="s">
        <v>915</v>
      </c>
      <c r="C179" t="s">
        <v>916</v>
      </c>
      <c r="E179" t="s">
        <v>186</v>
      </c>
      <c r="F179" t="s">
        <v>1021</v>
      </c>
      <c r="G179" t="s">
        <v>417</v>
      </c>
    </row>
    <row r="180" spans="1:7">
      <c r="A180" s="14">
        <v>40001</v>
      </c>
      <c r="B180" t="s">
        <v>436</v>
      </c>
      <c r="C180" t="s">
        <v>437</v>
      </c>
      <c r="E180" t="s">
        <v>201</v>
      </c>
      <c r="F180" t="s">
        <v>1022</v>
      </c>
      <c r="G180" t="s">
        <v>438</v>
      </c>
    </row>
    <row r="181" spans="1:7">
      <c r="A181" s="14">
        <v>40002</v>
      </c>
      <c r="B181" t="s">
        <v>450</v>
      </c>
      <c r="C181" t="s">
        <v>451</v>
      </c>
      <c r="E181" t="s">
        <v>201</v>
      </c>
      <c r="F181" t="s">
        <v>1022</v>
      </c>
      <c r="G181" t="s">
        <v>438</v>
      </c>
    </row>
    <row r="182" spans="1:7">
      <c r="A182" s="14">
        <v>40003</v>
      </c>
      <c r="B182" t="s">
        <v>479</v>
      </c>
      <c r="C182" t="s">
        <v>480</v>
      </c>
      <c r="E182" t="s">
        <v>201</v>
      </c>
      <c r="F182" t="s">
        <v>1022</v>
      </c>
      <c r="G182" t="s">
        <v>438</v>
      </c>
    </row>
    <row r="183" spans="1:7">
      <c r="A183" s="14">
        <v>40004</v>
      </c>
      <c r="B183" t="s">
        <v>556</v>
      </c>
      <c r="C183" t="s">
        <v>557</v>
      </c>
      <c r="E183" t="s">
        <v>201</v>
      </c>
      <c r="F183" t="s">
        <v>1022</v>
      </c>
      <c r="G183" t="s">
        <v>458</v>
      </c>
    </row>
    <row r="184" spans="1:7">
      <c r="A184" s="14">
        <v>40005</v>
      </c>
      <c r="B184" t="s">
        <v>566</v>
      </c>
      <c r="C184" t="s">
        <v>567</v>
      </c>
      <c r="E184" t="s">
        <v>201</v>
      </c>
      <c r="F184" t="s">
        <v>1022</v>
      </c>
      <c r="G184" t="s">
        <v>458</v>
      </c>
    </row>
    <row r="185" spans="1:7">
      <c r="A185" s="14">
        <v>40006</v>
      </c>
      <c r="B185" t="s">
        <v>587</v>
      </c>
      <c r="C185" t="s">
        <v>588</v>
      </c>
      <c r="E185" t="s">
        <v>201</v>
      </c>
      <c r="F185" t="s">
        <v>1022</v>
      </c>
      <c r="G185" t="s">
        <v>438</v>
      </c>
    </row>
    <row r="186" spans="1:7">
      <c r="A186" s="14">
        <v>40007</v>
      </c>
      <c r="B186" t="s">
        <v>645</v>
      </c>
      <c r="C186" t="s">
        <v>646</v>
      </c>
      <c r="E186" t="s">
        <v>201</v>
      </c>
      <c r="F186" t="s">
        <v>1022</v>
      </c>
      <c r="G186" t="s">
        <v>458</v>
      </c>
    </row>
    <row r="187" spans="1:7">
      <c r="A187" s="14">
        <v>40008</v>
      </c>
      <c r="B187" t="s">
        <v>674</v>
      </c>
      <c r="C187" t="s">
        <v>675</v>
      </c>
      <c r="E187" t="s">
        <v>201</v>
      </c>
      <c r="F187" t="s">
        <v>1022</v>
      </c>
      <c r="G187" t="s">
        <v>458</v>
      </c>
    </row>
    <row r="188" spans="1:7">
      <c r="A188" s="14">
        <v>40009</v>
      </c>
      <c r="B188" t="s">
        <v>676</v>
      </c>
      <c r="C188" t="s">
        <v>677</v>
      </c>
      <c r="E188" t="s">
        <v>201</v>
      </c>
      <c r="F188" t="s">
        <v>1022</v>
      </c>
      <c r="G188" t="s">
        <v>458</v>
      </c>
    </row>
    <row r="189" spans="1:7">
      <c r="A189" s="14">
        <v>40010</v>
      </c>
      <c r="B189" t="s">
        <v>682</v>
      </c>
      <c r="C189" t="s">
        <v>683</v>
      </c>
      <c r="E189" t="s">
        <v>201</v>
      </c>
      <c r="F189" t="s">
        <v>1022</v>
      </c>
      <c r="G189" t="s">
        <v>458</v>
      </c>
    </row>
    <row r="190" spans="1:7">
      <c r="A190" s="14">
        <v>40011</v>
      </c>
      <c r="B190" t="s">
        <v>696</v>
      </c>
      <c r="C190" t="s">
        <v>697</v>
      </c>
      <c r="E190" t="s">
        <v>201</v>
      </c>
      <c r="F190" t="s">
        <v>1022</v>
      </c>
      <c r="G190" t="s">
        <v>458</v>
      </c>
    </row>
    <row r="191" spans="1:7">
      <c r="A191" s="14">
        <v>40012</v>
      </c>
      <c r="B191" t="s">
        <v>775</v>
      </c>
      <c r="C191" t="s">
        <v>776</v>
      </c>
      <c r="E191" t="s">
        <v>201</v>
      </c>
      <c r="F191" t="s">
        <v>1022</v>
      </c>
      <c r="G191" t="s">
        <v>458</v>
      </c>
    </row>
    <row r="192" spans="1:7">
      <c r="A192" s="14">
        <v>40013</v>
      </c>
      <c r="B192" t="s">
        <v>781</v>
      </c>
      <c r="C192" t="s">
        <v>782</v>
      </c>
      <c r="E192" t="s">
        <v>201</v>
      </c>
      <c r="F192" t="s">
        <v>1022</v>
      </c>
      <c r="G192" t="s">
        <v>458</v>
      </c>
    </row>
    <row r="193" spans="1:7">
      <c r="A193" s="14">
        <v>40014</v>
      </c>
      <c r="B193" t="s">
        <v>783</v>
      </c>
      <c r="C193" t="s">
        <v>474</v>
      </c>
      <c r="E193" t="s">
        <v>201</v>
      </c>
      <c r="F193" t="s">
        <v>1022</v>
      </c>
      <c r="G193" t="s">
        <v>458</v>
      </c>
    </row>
    <row r="194" spans="1:7">
      <c r="A194" s="14">
        <v>40015</v>
      </c>
      <c r="B194" t="s">
        <v>816</v>
      </c>
      <c r="C194" t="s">
        <v>817</v>
      </c>
      <c r="E194" t="s">
        <v>201</v>
      </c>
      <c r="F194" t="s">
        <v>1022</v>
      </c>
      <c r="G194" t="s">
        <v>458</v>
      </c>
    </row>
    <row r="195" spans="1:7">
      <c r="A195" s="14">
        <v>40016</v>
      </c>
      <c r="B195" t="s">
        <v>818</v>
      </c>
      <c r="C195" t="s">
        <v>820</v>
      </c>
      <c r="E195" t="s">
        <v>201</v>
      </c>
      <c r="F195" t="s">
        <v>1022</v>
      </c>
      <c r="G195" t="s">
        <v>438</v>
      </c>
    </row>
    <row r="196" spans="1:7">
      <c r="A196" s="14">
        <v>40017</v>
      </c>
      <c r="B196" t="s">
        <v>823</v>
      </c>
      <c r="C196" t="s">
        <v>826</v>
      </c>
      <c r="E196" t="s">
        <v>201</v>
      </c>
      <c r="F196" t="s">
        <v>1022</v>
      </c>
      <c r="G196" t="s">
        <v>458</v>
      </c>
    </row>
    <row r="197" spans="1:7">
      <c r="A197" s="14">
        <v>40018</v>
      </c>
      <c r="B197" t="s">
        <v>911</v>
      </c>
      <c r="C197" t="s">
        <v>617</v>
      </c>
      <c r="E197" t="s">
        <v>201</v>
      </c>
      <c r="F197" t="s">
        <v>1022</v>
      </c>
      <c r="G197" t="s">
        <v>458</v>
      </c>
    </row>
    <row r="198" spans="1:7">
      <c r="A198" s="14">
        <v>40019</v>
      </c>
      <c r="B198" t="s">
        <v>967</v>
      </c>
      <c r="C198" t="s">
        <v>968</v>
      </c>
      <c r="E198" t="s">
        <v>201</v>
      </c>
      <c r="F198" t="s">
        <v>1022</v>
      </c>
      <c r="G198" t="s">
        <v>458</v>
      </c>
    </row>
    <row r="199" spans="1:7">
      <c r="A199" s="14">
        <v>40020</v>
      </c>
      <c r="B199" t="s">
        <v>969</v>
      </c>
      <c r="C199" t="s">
        <v>970</v>
      </c>
      <c r="E199" t="s">
        <v>201</v>
      </c>
      <c r="F199" t="s">
        <v>1022</v>
      </c>
      <c r="G199" t="s">
        <v>438</v>
      </c>
    </row>
    <row r="200" spans="1:7">
      <c r="A200" s="14">
        <v>40021</v>
      </c>
      <c r="B200" t="s">
        <v>982</v>
      </c>
      <c r="C200" t="s">
        <v>983</v>
      </c>
      <c r="E200" t="s">
        <v>201</v>
      </c>
      <c r="F200" t="s">
        <v>1022</v>
      </c>
      <c r="G200" t="s">
        <v>458</v>
      </c>
    </row>
    <row r="201" spans="1:7">
      <c r="A201" s="14">
        <v>40022</v>
      </c>
      <c r="B201" t="s">
        <v>997</v>
      </c>
      <c r="C201" t="s">
        <v>998</v>
      </c>
      <c r="E201" t="s">
        <v>201</v>
      </c>
      <c r="F201" t="s">
        <v>1022</v>
      </c>
      <c r="G201" t="s">
        <v>438</v>
      </c>
    </row>
    <row r="202" spans="1:7">
      <c r="A202" s="14">
        <v>50001</v>
      </c>
      <c r="B202" t="s">
        <v>979</v>
      </c>
      <c r="C202" t="s">
        <v>980</v>
      </c>
      <c r="E202" t="s">
        <v>224</v>
      </c>
      <c r="F202" t="s">
        <v>1021</v>
      </c>
      <c r="G202" t="s">
        <v>449</v>
      </c>
    </row>
    <row r="203" spans="1:7">
      <c r="A203" s="14">
        <v>60001</v>
      </c>
      <c r="B203" t="s">
        <v>643</v>
      </c>
      <c r="C203" t="s">
        <v>644</v>
      </c>
      <c r="E203" t="s">
        <v>226</v>
      </c>
      <c r="F203" t="s">
        <v>1021</v>
      </c>
      <c r="G203" t="s">
        <v>414</v>
      </c>
    </row>
    <row r="204" spans="1:7">
      <c r="A204" s="14">
        <v>60002</v>
      </c>
      <c r="B204" t="s">
        <v>741</v>
      </c>
      <c r="C204" t="s">
        <v>742</v>
      </c>
      <c r="E204" t="s">
        <v>226</v>
      </c>
      <c r="F204" t="s">
        <v>1021</v>
      </c>
      <c r="G204" t="s">
        <v>449</v>
      </c>
    </row>
    <row r="205" spans="1:7">
      <c r="A205" s="14">
        <v>70001</v>
      </c>
      <c r="B205" t="s">
        <v>456</v>
      </c>
      <c r="C205" t="s">
        <v>457</v>
      </c>
      <c r="E205" t="s">
        <v>229</v>
      </c>
      <c r="F205" t="s">
        <v>1022</v>
      </c>
      <c r="G205" t="s">
        <v>458</v>
      </c>
    </row>
    <row r="206" spans="1:7">
      <c r="A206" s="14">
        <v>70002</v>
      </c>
      <c r="B206" t="s">
        <v>472</v>
      </c>
      <c r="C206" t="s">
        <v>474</v>
      </c>
      <c r="E206" t="s">
        <v>229</v>
      </c>
      <c r="F206" t="s">
        <v>1022</v>
      </c>
      <c r="G206" t="s">
        <v>458</v>
      </c>
    </row>
    <row r="207" spans="1:7">
      <c r="A207" s="14">
        <v>70003</v>
      </c>
      <c r="B207" t="s">
        <v>475</v>
      </c>
      <c r="C207" t="s">
        <v>476</v>
      </c>
      <c r="E207" t="s">
        <v>229</v>
      </c>
      <c r="F207" t="s">
        <v>1022</v>
      </c>
      <c r="G207" t="s">
        <v>458</v>
      </c>
    </row>
    <row r="208" spans="1:7">
      <c r="A208" s="14">
        <v>70004</v>
      </c>
      <c r="B208" t="s">
        <v>492</v>
      </c>
      <c r="C208" t="s">
        <v>493</v>
      </c>
      <c r="E208" t="s">
        <v>229</v>
      </c>
      <c r="F208" t="s">
        <v>1022</v>
      </c>
      <c r="G208" t="s">
        <v>458</v>
      </c>
    </row>
    <row r="209" spans="1:7">
      <c r="A209" s="14">
        <v>70005</v>
      </c>
      <c r="B209" t="s">
        <v>497</v>
      </c>
      <c r="C209" t="s">
        <v>500</v>
      </c>
      <c r="E209" t="s">
        <v>229</v>
      </c>
      <c r="F209" t="s">
        <v>1022</v>
      </c>
      <c r="G209" t="s">
        <v>458</v>
      </c>
    </row>
    <row r="210" spans="1:7">
      <c r="A210" s="14">
        <v>70006</v>
      </c>
      <c r="B210" t="s">
        <v>497</v>
      </c>
      <c r="C210" t="s">
        <v>499</v>
      </c>
      <c r="E210" t="s">
        <v>229</v>
      </c>
      <c r="F210" t="s">
        <v>1022</v>
      </c>
      <c r="G210" t="s">
        <v>458</v>
      </c>
    </row>
    <row r="211" spans="1:7">
      <c r="A211" s="14">
        <v>70007</v>
      </c>
      <c r="B211" t="s">
        <v>545</v>
      </c>
      <c r="C211" t="s">
        <v>547</v>
      </c>
      <c r="E211" t="s">
        <v>229</v>
      </c>
      <c r="F211" t="s">
        <v>1022</v>
      </c>
      <c r="G211" t="s">
        <v>458</v>
      </c>
    </row>
    <row r="212" spans="1:7">
      <c r="A212" s="14">
        <v>70008</v>
      </c>
      <c r="B212" t="s">
        <v>566</v>
      </c>
      <c r="C212" t="s">
        <v>568</v>
      </c>
      <c r="E212" t="s">
        <v>229</v>
      </c>
      <c r="F212" t="s">
        <v>1022</v>
      </c>
      <c r="G212" t="s">
        <v>458</v>
      </c>
    </row>
    <row r="213" spans="1:7">
      <c r="A213" s="14">
        <v>70009</v>
      </c>
      <c r="B213" t="s">
        <v>583</v>
      </c>
      <c r="C213" t="s">
        <v>584</v>
      </c>
      <c r="E213" t="s">
        <v>229</v>
      </c>
      <c r="F213" t="s">
        <v>1022</v>
      </c>
      <c r="G213" t="s">
        <v>458</v>
      </c>
    </row>
    <row r="214" spans="1:7">
      <c r="A214" s="14">
        <v>70010</v>
      </c>
      <c r="B214" t="s">
        <v>595</v>
      </c>
      <c r="C214" t="s">
        <v>596</v>
      </c>
      <c r="E214" t="s">
        <v>229</v>
      </c>
      <c r="F214" t="s">
        <v>1022</v>
      </c>
      <c r="G214" t="s">
        <v>458</v>
      </c>
    </row>
    <row r="215" spans="1:7">
      <c r="A215" s="14">
        <v>70011</v>
      </c>
      <c r="B215" t="s">
        <v>595</v>
      </c>
      <c r="C215" t="s">
        <v>599</v>
      </c>
      <c r="E215" t="s">
        <v>229</v>
      </c>
      <c r="F215" t="s">
        <v>1022</v>
      </c>
      <c r="G215" t="s">
        <v>458</v>
      </c>
    </row>
    <row r="216" spans="1:7">
      <c r="A216" s="14">
        <v>70012</v>
      </c>
      <c r="B216" t="s">
        <v>626</v>
      </c>
      <c r="C216" t="s">
        <v>627</v>
      </c>
      <c r="E216" t="s">
        <v>229</v>
      </c>
      <c r="F216" t="s">
        <v>1022</v>
      </c>
      <c r="G216" t="s">
        <v>458</v>
      </c>
    </row>
    <row r="217" spans="1:7">
      <c r="A217" s="14">
        <v>70013</v>
      </c>
      <c r="B217" t="s">
        <v>626</v>
      </c>
      <c r="C217" t="s">
        <v>628</v>
      </c>
      <c r="E217" t="s">
        <v>229</v>
      </c>
      <c r="F217" t="s">
        <v>1022</v>
      </c>
      <c r="G217" t="s">
        <v>458</v>
      </c>
    </row>
    <row r="218" spans="1:7">
      <c r="A218" s="14">
        <v>70014</v>
      </c>
      <c r="B218" t="s">
        <v>633</v>
      </c>
      <c r="C218" t="s">
        <v>634</v>
      </c>
      <c r="E218" t="s">
        <v>229</v>
      </c>
      <c r="F218" t="s">
        <v>1022</v>
      </c>
      <c r="G218" t="s">
        <v>458</v>
      </c>
    </row>
    <row r="219" spans="1:7">
      <c r="A219" s="14">
        <v>70015</v>
      </c>
      <c r="B219" t="s">
        <v>659</v>
      </c>
      <c r="C219" t="s">
        <v>661</v>
      </c>
      <c r="E219" t="s">
        <v>229</v>
      </c>
      <c r="F219" t="s">
        <v>1022</v>
      </c>
      <c r="G219" t="s">
        <v>458</v>
      </c>
    </row>
    <row r="220" spans="1:7">
      <c r="A220" s="14">
        <v>70016</v>
      </c>
      <c r="B220" t="s">
        <v>662</v>
      </c>
      <c r="C220" t="s">
        <v>663</v>
      </c>
      <c r="E220" t="s">
        <v>229</v>
      </c>
      <c r="F220" t="s">
        <v>1022</v>
      </c>
      <c r="G220" t="s">
        <v>458</v>
      </c>
    </row>
    <row r="221" spans="1:7">
      <c r="A221" s="14">
        <v>70017</v>
      </c>
      <c r="B221" t="s">
        <v>684</v>
      </c>
      <c r="C221" t="s">
        <v>685</v>
      </c>
      <c r="E221" t="s">
        <v>229</v>
      </c>
      <c r="F221" t="s">
        <v>1022</v>
      </c>
      <c r="G221" t="s">
        <v>458</v>
      </c>
    </row>
    <row r="222" spans="1:7">
      <c r="A222" s="14">
        <v>70018</v>
      </c>
      <c r="B222" t="s">
        <v>686</v>
      </c>
      <c r="C222" t="s">
        <v>690</v>
      </c>
      <c r="E222" t="s">
        <v>229</v>
      </c>
      <c r="F222" t="s">
        <v>1022</v>
      </c>
      <c r="G222" t="s">
        <v>458</v>
      </c>
    </row>
    <row r="223" spans="1:7">
      <c r="A223" s="14">
        <v>70019</v>
      </c>
      <c r="B223" t="s">
        <v>701</v>
      </c>
      <c r="C223" t="s">
        <v>654</v>
      </c>
      <c r="E223" t="s">
        <v>229</v>
      </c>
      <c r="F223" t="s">
        <v>1022</v>
      </c>
      <c r="G223" t="s">
        <v>458</v>
      </c>
    </row>
    <row r="224" spans="1:7">
      <c r="A224" s="14">
        <v>70020</v>
      </c>
      <c r="B224" t="s">
        <v>710</v>
      </c>
      <c r="C224" t="s">
        <v>711</v>
      </c>
      <c r="E224" t="s">
        <v>229</v>
      </c>
      <c r="F224" t="s">
        <v>1022</v>
      </c>
      <c r="G224" t="s">
        <v>458</v>
      </c>
    </row>
    <row r="225" spans="1:7">
      <c r="A225" s="14">
        <v>70021</v>
      </c>
      <c r="B225" t="s">
        <v>726</v>
      </c>
      <c r="C225" t="s">
        <v>727</v>
      </c>
      <c r="E225" t="s">
        <v>229</v>
      </c>
      <c r="F225" t="s">
        <v>1022</v>
      </c>
      <c r="G225" t="s">
        <v>458</v>
      </c>
    </row>
    <row r="226" spans="1:7">
      <c r="A226" s="14">
        <v>70022</v>
      </c>
      <c r="B226" t="s">
        <v>728</v>
      </c>
      <c r="C226" t="s">
        <v>729</v>
      </c>
      <c r="E226" t="s">
        <v>229</v>
      </c>
      <c r="F226" t="s">
        <v>1022</v>
      </c>
      <c r="G226" t="s">
        <v>458</v>
      </c>
    </row>
    <row r="227" spans="1:7">
      <c r="A227" s="14">
        <v>70023</v>
      </c>
      <c r="B227" t="s">
        <v>786</v>
      </c>
      <c r="C227" t="s">
        <v>648</v>
      </c>
      <c r="E227" t="s">
        <v>229</v>
      </c>
      <c r="F227" t="s">
        <v>1022</v>
      </c>
      <c r="G227" t="s">
        <v>458</v>
      </c>
    </row>
    <row r="228" spans="1:7">
      <c r="A228" s="14">
        <v>70024</v>
      </c>
      <c r="B228" t="s">
        <v>791</v>
      </c>
      <c r="C228" t="s">
        <v>792</v>
      </c>
      <c r="E228" t="s">
        <v>229</v>
      </c>
      <c r="F228" t="s">
        <v>1022</v>
      </c>
      <c r="G228" t="s">
        <v>458</v>
      </c>
    </row>
    <row r="229" spans="1:7">
      <c r="A229" s="14">
        <v>70025</v>
      </c>
      <c r="B229" t="s">
        <v>794</v>
      </c>
      <c r="C229" t="s">
        <v>795</v>
      </c>
      <c r="E229" t="s">
        <v>229</v>
      </c>
      <c r="F229" t="s">
        <v>1022</v>
      </c>
      <c r="G229" t="s">
        <v>458</v>
      </c>
    </row>
    <row r="230" spans="1:7">
      <c r="A230" s="14">
        <v>70026</v>
      </c>
      <c r="B230" t="s">
        <v>802</v>
      </c>
      <c r="C230" t="s">
        <v>803</v>
      </c>
      <c r="E230" t="s">
        <v>229</v>
      </c>
      <c r="F230" t="s">
        <v>1022</v>
      </c>
      <c r="G230" t="s">
        <v>458</v>
      </c>
    </row>
    <row r="231" spans="1:7">
      <c r="A231" s="14">
        <v>70027</v>
      </c>
      <c r="B231" t="s">
        <v>818</v>
      </c>
      <c r="C231" t="s">
        <v>819</v>
      </c>
      <c r="E231" t="s">
        <v>229</v>
      </c>
      <c r="F231" t="s">
        <v>1022</v>
      </c>
      <c r="G231" t="s">
        <v>458</v>
      </c>
    </row>
    <row r="232" spans="1:7">
      <c r="A232" s="14">
        <v>70028</v>
      </c>
      <c r="B232" t="s">
        <v>839</v>
      </c>
      <c r="C232" t="s">
        <v>842</v>
      </c>
      <c r="E232" t="s">
        <v>229</v>
      </c>
      <c r="F232" t="s">
        <v>1022</v>
      </c>
      <c r="G232" t="s">
        <v>458</v>
      </c>
    </row>
    <row r="233" spans="1:7">
      <c r="A233" s="14">
        <v>70029</v>
      </c>
      <c r="B233" t="s">
        <v>849</v>
      </c>
      <c r="C233" t="s">
        <v>850</v>
      </c>
      <c r="E233" t="s">
        <v>229</v>
      </c>
      <c r="F233" t="s">
        <v>1022</v>
      </c>
      <c r="G233" t="s">
        <v>458</v>
      </c>
    </row>
    <row r="234" spans="1:7">
      <c r="A234" s="14">
        <v>70030</v>
      </c>
      <c r="B234" t="s">
        <v>791</v>
      </c>
      <c r="C234" t="s">
        <v>793</v>
      </c>
      <c r="E234" t="s">
        <v>229</v>
      </c>
      <c r="F234" t="s">
        <v>1022</v>
      </c>
      <c r="G234" t="s">
        <v>458</v>
      </c>
    </row>
    <row r="235" spans="1:7">
      <c r="A235" s="14">
        <v>70031</v>
      </c>
      <c r="B235" t="s">
        <v>859</v>
      </c>
      <c r="C235" t="s">
        <v>822</v>
      </c>
      <c r="E235" t="s">
        <v>229</v>
      </c>
      <c r="F235" t="s">
        <v>1022</v>
      </c>
      <c r="G235" t="s">
        <v>458</v>
      </c>
    </row>
    <row r="236" spans="1:7">
      <c r="A236" s="14">
        <v>70032</v>
      </c>
      <c r="B236" t="s">
        <v>829</v>
      </c>
      <c r="C236" t="s">
        <v>863</v>
      </c>
      <c r="E236" t="s">
        <v>229</v>
      </c>
      <c r="F236" t="s">
        <v>1022</v>
      </c>
      <c r="G236" t="s">
        <v>458</v>
      </c>
    </row>
    <row r="237" spans="1:7">
      <c r="A237" s="14">
        <v>70033</v>
      </c>
      <c r="B237" t="s">
        <v>874</v>
      </c>
      <c r="C237" t="s">
        <v>601</v>
      </c>
      <c r="E237" t="s">
        <v>229</v>
      </c>
      <c r="F237" t="s">
        <v>1022</v>
      </c>
      <c r="G237" t="s">
        <v>458</v>
      </c>
    </row>
    <row r="238" spans="1:7">
      <c r="A238" s="14">
        <v>70034</v>
      </c>
      <c r="B238" t="s">
        <v>885</v>
      </c>
      <c r="C238" t="s">
        <v>886</v>
      </c>
      <c r="E238" t="s">
        <v>229</v>
      </c>
      <c r="F238" t="s">
        <v>1022</v>
      </c>
      <c r="G238" t="s">
        <v>458</v>
      </c>
    </row>
    <row r="239" spans="1:7">
      <c r="A239" s="14">
        <v>70035</v>
      </c>
      <c r="B239" t="s">
        <v>890</v>
      </c>
      <c r="C239" t="s">
        <v>891</v>
      </c>
      <c r="E239" t="s">
        <v>229</v>
      </c>
      <c r="F239" t="s">
        <v>1022</v>
      </c>
      <c r="G239" t="s">
        <v>458</v>
      </c>
    </row>
    <row r="240" spans="1:7">
      <c r="A240" s="14">
        <v>70036</v>
      </c>
      <c r="B240" t="s">
        <v>897</v>
      </c>
      <c r="C240" t="s">
        <v>898</v>
      </c>
      <c r="E240" t="s">
        <v>229</v>
      </c>
      <c r="F240" t="s">
        <v>1022</v>
      </c>
      <c r="G240" t="s">
        <v>458</v>
      </c>
    </row>
    <row r="241" spans="1:7">
      <c r="A241" s="14">
        <v>70037</v>
      </c>
      <c r="B241" t="s">
        <v>918</v>
      </c>
      <c r="C241" t="s">
        <v>921</v>
      </c>
      <c r="E241" t="s">
        <v>229</v>
      </c>
      <c r="F241" t="s">
        <v>1022</v>
      </c>
      <c r="G241" t="s">
        <v>458</v>
      </c>
    </row>
    <row r="242" spans="1:7">
      <c r="A242" s="14">
        <v>70038</v>
      </c>
      <c r="B242" t="s">
        <v>918</v>
      </c>
      <c r="C242" t="s">
        <v>921</v>
      </c>
      <c r="E242" t="s">
        <v>229</v>
      </c>
      <c r="F242" t="s">
        <v>1022</v>
      </c>
      <c r="G242" t="s">
        <v>458</v>
      </c>
    </row>
    <row r="243" spans="1:7">
      <c r="A243" s="14">
        <v>70039</v>
      </c>
      <c r="B243" t="s">
        <v>940</v>
      </c>
      <c r="C243" t="s">
        <v>941</v>
      </c>
      <c r="E243" t="s">
        <v>229</v>
      </c>
      <c r="F243" t="s">
        <v>1022</v>
      </c>
      <c r="G243" t="s">
        <v>458</v>
      </c>
    </row>
    <row r="244" spans="1:7">
      <c r="A244" s="14">
        <v>70040</v>
      </c>
      <c r="B244" t="s">
        <v>946</v>
      </c>
      <c r="C244" t="s">
        <v>947</v>
      </c>
      <c r="E244" t="s">
        <v>229</v>
      </c>
      <c r="F244" t="s">
        <v>1022</v>
      </c>
      <c r="G244" t="s">
        <v>458</v>
      </c>
    </row>
    <row r="245" spans="1:7">
      <c r="A245" s="14">
        <v>70041</v>
      </c>
      <c r="B245" t="s">
        <v>993</v>
      </c>
      <c r="C245" t="s">
        <v>994</v>
      </c>
      <c r="E245" t="s">
        <v>229</v>
      </c>
      <c r="F245" t="s">
        <v>1022</v>
      </c>
      <c r="G245" t="s">
        <v>458</v>
      </c>
    </row>
    <row r="246" spans="1:7">
      <c r="A246" s="14">
        <v>70042</v>
      </c>
      <c r="B246" t="s">
        <v>1005</v>
      </c>
      <c r="C246" t="s">
        <v>1006</v>
      </c>
      <c r="E246" t="s">
        <v>229</v>
      </c>
      <c r="F246" t="s">
        <v>1022</v>
      </c>
      <c r="G246" t="s">
        <v>458</v>
      </c>
    </row>
    <row r="247" spans="1:7">
      <c r="A247" s="14">
        <v>80001</v>
      </c>
      <c r="B247" t="s">
        <v>405</v>
      </c>
      <c r="C247" t="s">
        <v>406</v>
      </c>
      <c r="E247" t="s">
        <v>271</v>
      </c>
      <c r="F247" t="s">
        <v>1023</v>
      </c>
      <c r="G247" t="s">
        <v>407</v>
      </c>
    </row>
    <row r="248" spans="1:7">
      <c r="A248" s="14">
        <v>80002</v>
      </c>
      <c r="B248" t="s">
        <v>410</v>
      </c>
      <c r="C248" t="s">
        <v>411</v>
      </c>
      <c r="E248" t="s">
        <v>271</v>
      </c>
      <c r="F248" t="s">
        <v>1023</v>
      </c>
      <c r="G248" t="s">
        <v>407</v>
      </c>
    </row>
    <row r="249" spans="1:7">
      <c r="A249" s="14">
        <v>80003</v>
      </c>
      <c r="B249" t="s">
        <v>418</v>
      </c>
      <c r="C249" t="s">
        <v>411</v>
      </c>
      <c r="E249" t="s">
        <v>271</v>
      </c>
      <c r="F249" t="s">
        <v>1023</v>
      </c>
      <c r="G249" t="s">
        <v>407</v>
      </c>
    </row>
    <row r="250" spans="1:7">
      <c r="A250" s="14">
        <v>80004</v>
      </c>
      <c r="B250" t="s">
        <v>419</v>
      </c>
      <c r="C250" t="s">
        <v>420</v>
      </c>
      <c r="E250" t="s">
        <v>271</v>
      </c>
      <c r="F250" t="s">
        <v>1023</v>
      </c>
      <c r="G250" t="s">
        <v>407</v>
      </c>
    </row>
    <row r="251" spans="1:7">
      <c r="A251" s="14">
        <v>80005</v>
      </c>
      <c r="B251" t="s">
        <v>421</v>
      </c>
      <c r="C251" t="s">
        <v>422</v>
      </c>
      <c r="E251" t="s">
        <v>271</v>
      </c>
      <c r="F251" t="s">
        <v>1023</v>
      </c>
      <c r="G251" t="s">
        <v>402</v>
      </c>
    </row>
    <row r="252" spans="1:7">
      <c r="A252" s="14">
        <v>80006</v>
      </c>
      <c r="B252" t="s">
        <v>428</v>
      </c>
      <c r="C252" t="s">
        <v>429</v>
      </c>
      <c r="E252" t="s">
        <v>271</v>
      </c>
      <c r="F252" t="s">
        <v>1023</v>
      </c>
      <c r="G252" t="s">
        <v>402</v>
      </c>
    </row>
    <row r="253" spans="1:7">
      <c r="A253" s="14">
        <v>80007</v>
      </c>
      <c r="B253" t="s">
        <v>454</v>
      </c>
      <c r="C253" t="s">
        <v>455</v>
      </c>
      <c r="E253" t="s">
        <v>271</v>
      </c>
      <c r="F253" t="s">
        <v>1023</v>
      </c>
      <c r="G253" t="s">
        <v>425</v>
      </c>
    </row>
    <row r="254" spans="1:7">
      <c r="A254" s="14">
        <v>80008</v>
      </c>
      <c r="B254" t="s">
        <v>461</v>
      </c>
      <c r="C254" t="s">
        <v>462</v>
      </c>
      <c r="E254" t="s">
        <v>271</v>
      </c>
      <c r="F254" t="s">
        <v>1023</v>
      </c>
      <c r="G254" t="s">
        <v>407</v>
      </c>
    </row>
    <row r="255" spans="1:7">
      <c r="A255" s="14">
        <v>80009</v>
      </c>
      <c r="B255" t="s">
        <v>465</v>
      </c>
      <c r="C255" t="s">
        <v>466</v>
      </c>
      <c r="E255" t="s">
        <v>271</v>
      </c>
      <c r="F255" t="s">
        <v>1023</v>
      </c>
      <c r="G255" t="s">
        <v>402</v>
      </c>
    </row>
    <row r="256" spans="1:7">
      <c r="A256" s="14">
        <v>80010</v>
      </c>
      <c r="B256" t="s">
        <v>472</v>
      </c>
      <c r="C256" t="s">
        <v>473</v>
      </c>
      <c r="E256" t="s">
        <v>271</v>
      </c>
      <c r="F256" t="s">
        <v>1023</v>
      </c>
      <c r="G256" t="s">
        <v>425</v>
      </c>
    </row>
    <row r="257" spans="1:7">
      <c r="A257" s="14">
        <v>80011</v>
      </c>
      <c r="B257" t="s">
        <v>486</v>
      </c>
      <c r="C257" t="s">
        <v>462</v>
      </c>
      <c r="E257" t="s">
        <v>271</v>
      </c>
      <c r="F257" t="s">
        <v>1023</v>
      </c>
      <c r="G257" t="s">
        <v>402</v>
      </c>
    </row>
    <row r="258" spans="1:7">
      <c r="A258" s="14">
        <v>80012</v>
      </c>
      <c r="B258" t="s">
        <v>489</v>
      </c>
      <c r="C258" t="s">
        <v>1018</v>
      </c>
      <c r="E258" t="s">
        <v>271</v>
      </c>
      <c r="F258" t="s">
        <v>1023</v>
      </c>
      <c r="G258" t="s">
        <v>402</v>
      </c>
    </row>
    <row r="259" spans="1:7">
      <c r="A259" s="14">
        <v>80013</v>
      </c>
      <c r="B259" t="s">
        <v>512</v>
      </c>
      <c r="C259" t="s">
        <v>513</v>
      </c>
      <c r="E259" t="s">
        <v>271</v>
      </c>
      <c r="F259" t="s">
        <v>1023</v>
      </c>
      <c r="G259" t="s">
        <v>402</v>
      </c>
    </row>
    <row r="260" spans="1:7">
      <c r="A260" s="14">
        <v>80014</v>
      </c>
      <c r="B260" t="s">
        <v>543</v>
      </c>
      <c r="C260" t="s">
        <v>544</v>
      </c>
      <c r="E260" t="s">
        <v>271</v>
      </c>
      <c r="F260" t="s">
        <v>1023</v>
      </c>
      <c r="G260" t="s">
        <v>425</v>
      </c>
    </row>
    <row r="261" spans="1:7">
      <c r="A261" s="14">
        <v>80015</v>
      </c>
      <c r="B261" t="s">
        <v>552</v>
      </c>
      <c r="C261" t="s">
        <v>553</v>
      </c>
      <c r="E261" t="s">
        <v>271</v>
      </c>
      <c r="F261" t="s">
        <v>1023</v>
      </c>
      <c r="G261" t="s">
        <v>425</v>
      </c>
    </row>
    <row r="262" spans="1:7">
      <c r="A262" s="14">
        <v>80016</v>
      </c>
      <c r="B262" t="s">
        <v>554</v>
      </c>
      <c r="C262" t="s">
        <v>555</v>
      </c>
      <c r="E262" t="s">
        <v>271</v>
      </c>
      <c r="F262" t="s">
        <v>1023</v>
      </c>
      <c r="G262" t="s">
        <v>402</v>
      </c>
    </row>
    <row r="263" spans="1:7">
      <c r="A263" s="14">
        <v>80017</v>
      </c>
      <c r="B263" t="s">
        <v>564</v>
      </c>
      <c r="C263" t="s">
        <v>565</v>
      </c>
      <c r="E263" t="s">
        <v>271</v>
      </c>
      <c r="F263" t="s">
        <v>1023</v>
      </c>
      <c r="G263" t="s">
        <v>402</v>
      </c>
    </row>
    <row r="264" spans="1:7">
      <c r="A264" s="14">
        <v>80018</v>
      </c>
      <c r="B264" t="s">
        <v>579</v>
      </c>
      <c r="C264" t="s">
        <v>580</v>
      </c>
      <c r="E264" t="s">
        <v>271</v>
      </c>
      <c r="F264" t="s">
        <v>1023</v>
      </c>
      <c r="G264" t="s">
        <v>402</v>
      </c>
    </row>
    <row r="265" spans="1:7">
      <c r="A265" s="14">
        <v>80019</v>
      </c>
      <c r="B265" t="s">
        <v>581</v>
      </c>
      <c r="C265" t="s">
        <v>582</v>
      </c>
      <c r="E265" t="s">
        <v>271</v>
      </c>
      <c r="F265" t="s">
        <v>1023</v>
      </c>
      <c r="G265" t="s">
        <v>402</v>
      </c>
    </row>
    <row r="266" spans="1:7">
      <c r="A266" s="14">
        <v>80020</v>
      </c>
      <c r="B266" t="s">
        <v>591</v>
      </c>
      <c r="C266" t="s">
        <v>592</v>
      </c>
      <c r="E266" t="s">
        <v>271</v>
      </c>
      <c r="F266" t="s">
        <v>1023</v>
      </c>
      <c r="G266" t="s">
        <v>407</v>
      </c>
    </row>
    <row r="267" spans="1:7">
      <c r="A267" s="14">
        <v>80021</v>
      </c>
      <c r="B267" t="s">
        <v>595</v>
      </c>
      <c r="C267" t="s">
        <v>598</v>
      </c>
      <c r="E267" t="s">
        <v>271</v>
      </c>
      <c r="F267" t="s">
        <v>1023</v>
      </c>
      <c r="G267" t="s">
        <v>425</v>
      </c>
    </row>
    <row r="268" spans="1:7">
      <c r="A268" s="14">
        <v>80022</v>
      </c>
      <c r="B268" t="s">
        <v>600</v>
      </c>
      <c r="C268" t="s">
        <v>601</v>
      </c>
      <c r="E268" t="s">
        <v>271</v>
      </c>
      <c r="F268" t="s">
        <v>1023</v>
      </c>
      <c r="G268" t="s">
        <v>407</v>
      </c>
    </row>
    <row r="269" spans="1:7">
      <c r="A269" s="14">
        <v>80023</v>
      </c>
      <c r="B269" t="s">
        <v>426</v>
      </c>
      <c r="C269" t="s">
        <v>427</v>
      </c>
      <c r="E269" t="s">
        <v>271</v>
      </c>
      <c r="F269" t="s">
        <v>1023</v>
      </c>
      <c r="G269" t="s">
        <v>407</v>
      </c>
    </row>
    <row r="270" spans="1:7">
      <c r="A270" s="14">
        <v>80024</v>
      </c>
      <c r="B270" t="s">
        <v>614</v>
      </c>
      <c r="C270" t="s">
        <v>615</v>
      </c>
      <c r="E270" t="s">
        <v>271</v>
      </c>
      <c r="F270" t="s">
        <v>1023</v>
      </c>
      <c r="G270" t="s">
        <v>425</v>
      </c>
    </row>
    <row r="271" spans="1:7">
      <c r="A271" s="14">
        <v>80025</v>
      </c>
      <c r="B271" t="s">
        <v>621</v>
      </c>
      <c r="C271" t="s">
        <v>623</v>
      </c>
      <c r="E271" t="s">
        <v>271</v>
      </c>
      <c r="F271" t="s">
        <v>1023</v>
      </c>
      <c r="G271" t="s">
        <v>425</v>
      </c>
    </row>
    <row r="272" spans="1:7">
      <c r="A272" s="14">
        <v>80026</v>
      </c>
      <c r="B272" t="s">
        <v>624</v>
      </c>
      <c r="C272" t="s">
        <v>625</v>
      </c>
      <c r="E272" t="s">
        <v>271</v>
      </c>
      <c r="F272" t="s">
        <v>1023</v>
      </c>
      <c r="G272" t="s">
        <v>402</v>
      </c>
    </row>
    <row r="273" spans="1:7">
      <c r="A273" s="14">
        <v>80027</v>
      </c>
      <c r="B273" t="s">
        <v>629</v>
      </c>
      <c r="C273" t="s">
        <v>630</v>
      </c>
      <c r="E273" t="s">
        <v>271</v>
      </c>
      <c r="F273" t="s">
        <v>1023</v>
      </c>
      <c r="G273" t="s">
        <v>425</v>
      </c>
    </row>
    <row r="274" spans="1:7">
      <c r="A274" s="14">
        <v>80028</v>
      </c>
      <c r="B274" t="s">
        <v>653</v>
      </c>
      <c r="C274" t="s">
        <v>654</v>
      </c>
      <c r="E274" t="s">
        <v>271</v>
      </c>
      <c r="F274" t="s">
        <v>1023</v>
      </c>
      <c r="G274" t="s">
        <v>425</v>
      </c>
    </row>
    <row r="275" spans="1:7">
      <c r="A275" s="14">
        <v>80029</v>
      </c>
      <c r="B275" t="s">
        <v>657</v>
      </c>
      <c r="C275" t="s">
        <v>658</v>
      </c>
      <c r="E275" t="s">
        <v>271</v>
      </c>
      <c r="F275" t="s">
        <v>1023</v>
      </c>
      <c r="G275" t="s">
        <v>425</v>
      </c>
    </row>
    <row r="276" spans="1:7">
      <c r="A276" s="14">
        <v>80030</v>
      </c>
      <c r="B276" t="s">
        <v>659</v>
      </c>
      <c r="C276" t="s">
        <v>660</v>
      </c>
      <c r="E276" t="s">
        <v>271</v>
      </c>
      <c r="F276" t="s">
        <v>1023</v>
      </c>
      <c r="G276" t="s">
        <v>407</v>
      </c>
    </row>
    <row r="277" spans="1:7">
      <c r="A277" s="14">
        <v>80031</v>
      </c>
      <c r="B277" t="s">
        <v>666</v>
      </c>
      <c r="C277" t="s">
        <v>667</v>
      </c>
      <c r="E277" t="s">
        <v>271</v>
      </c>
      <c r="F277" t="s">
        <v>1023</v>
      </c>
      <c r="G277" t="s">
        <v>402</v>
      </c>
    </row>
    <row r="278" spans="1:7">
      <c r="A278" s="14">
        <v>80032</v>
      </c>
      <c r="B278" t="s">
        <v>668</v>
      </c>
      <c r="C278" t="s">
        <v>669</v>
      </c>
      <c r="E278" t="s">
        <v>271</v>
      </c>
      <c r="F278" t="s">
        <v>1023</v>
      </c>
      <c r="G278" t="s">
        <v>407</v>
      </c>
    </row>
    <row r="279" spans="1:7">
      <c r="A279" s="14">
        <v>80033</v>
      </c>
      <c r="B279" t="s">
        <v>694</v>
      </c>
      <c r="C279" t="s">
        <v>695</v>
      </c>
      <c r="E279" t="s">
        <v>271</v>
      </c>
      <c r="F279" t="s">
        <v>1023</v>
      </c>
      <c r="G279" t="s">
        <v>407</v>
      </c>
    </row>
    <row r="280" spans="1:7">
      <c r="A280" s="14">
        <v>80034</v>
      </c>
      <c r="B280" t="s">
        <v>702</v>
      </c>
      <c r="C280" t="s">
        <v>704</v>
      </c>
      <c r="E280" t="s">
        <v>271</v>
      </c>
      <c r="F280" t="s">
        <v>1023</v>
      </c>
      <c r="G280" t="s">
        <v>425</v>
      </c>
    </row>
    <row r="281" spans="1:7">
      <c r="A281" s="14">
        <v>80035</v>
      </c>
      <c r="B281" t="s">
        <v>712</v>
      </c>
      <c r="C281" t="s">
        <v>713</v>
      </c>
      <c r="E281" t="s">
        <v>271</v>
      </c>
      <c r="F281" t="s">
        <v>1023</v>
      </c>
      <c r="G281" t="s">
        <v>425</v>
      </c>
    </row>
    <row r="282" spans="1:7">
      <c r="A282" s="14">
        <v>80036</v>
      </c>
      <c r="B282" t="s">
        <v>716</v>
      </c>
      <c r="C282" t="s">
        <v>717</v>
      </c>
      <c r="E282" t="s">
        <v>271</v>
      </c>
      <c r="F282" t="s">
        <v>1023</v>
      </c>
      <c r="G282" t="s">
        <v>425</v>
      </c>
    </row>
    <row r="283" spans="1:7">
      <c r="A283" s="14">
        <v>80037</v>
      </c>
      <c r="B283" t="s">
        <v>722</v>
      </c>
      <c r="C283" t="s">
        <v>723</v>
      </c>
      <c r="E283" t="s">
        <v>271</v>
      </c>
      <c r="F283" t="s">
        <v>1023</v>
      </c>
      <c r="G283" t="s">
        <v>402</v>
      </c>
    </row>
    <row r="284" spans="1:7">
      <c r="A284" s="14">
        <v>80038</v>
      </c>
      <c r="B284" t="s">
        <v>730</v>
      </c>
      <c r="C284" t="s">
        <v>731</v>
      </c>
      <c r="E284" t="s">
        <v>271</v>
      </c>
      <c r="F284" t="s">
        <v>1023</v>
      </c>
      <c r="G284" t="s">
        <v>402</v>
      </c>
    </row>
    <row r="285" spans="1:7">
      <c r="A285" s="14">
        <v>80039</v>
      </c>
      <c r="B285" t="s">
        <v>738</v>
      </c>
      <c r="C285" t="s">
        <v>737</v>
      </c>
      <c r="E285" t="s">
        <v>271</v>
      </c>
      <c r="F285" t="s">
        <v>1023</v>
      </c>
      <c r="G285" t="s">
        <v>407</v>
      </c>
    </row>
    <row r="286" spans="1:7">
      <c r="A286" s="14">
        <v>80040</v>
      </c>
      <c r="B286" t="s">
        <v>749</v>
      </c>
      <c r="C286" t="s">
        <v>750</v>
      </c>
      <c r="E286" t="s">
        <v>271</v>
      </c>
      <c r="F286" t="s">
        <v>1023</v>
      </c>
      <c r="G286" t="s">
        <v>425</v>
      </c>
    </row>
    <row r="287" spans="1:7">
      <c r="A287" s="14">
        <v>80041</v>
      </c>
      <c r="B287" t="s">
        <v>751</v>
      </c>
      <c r="C287" t="s">
        <v>750</v>
      </c>
      <c r="E287" t="s">
        <v>271</v>
      </c>
      <c r="F287" t="s">
        <v>1023</v>
      </c>
      <c r="G287" t="s">
        <v>425</v>
      </c>
    </row>
    <row r="288" spans="1:7">
      <c r="A288" s="14">
        <v>80042</v>
      </c>
      <c r="B288" t="s">
        <v>767</v>
      </c>
      <c r="C288" t="s">
        <v>409</v>
      </c>
      <c r="E288" t="s">
        <v>271</v>
      </c>
      <c r="F288" t="s">
        <v>1023</v>
      </c>
      <c r="G288" t="s">
        <v>402</v>
      </c>
    </row>
    <row r="289" spans="1:7">
      <c r="A289" s="14">
        <v>80043</v>
      </c>
      <c r="B289" t="s">
        <v>770</v>
      </c>
      <c r="C289" t="s">
        <v>771</v>
      </c>
      <c r="E289" t="s">
        <v>271</v>
      </c>
      <c r="F289" t="s">
        <v>1023</v>
      </c>
      <c r="G289" t="s">
        <v>425</v>
      </c>
    </row>
    <row r="290" spans="1:7">
      <c r="A290" s="14">
        <v>80044</v>
      </c>
      <c r="B290" t="s">
        <v>789</v>
      </c>
      <c r="C290" t="s">
        <v>790</v>
      </c>
      <c r="E290" t="s">
        <v>271</v>
      </c>
      <c r="F290" t="s">
        <v>1023</v>
      </c>
      <c r="G290" t="s">
        <v>425</v>
      </c>
    </row>
    <row r="291" spans="1:7">
      <c r="A291" s="14">
        <v>80045</v>
      </c>
      <c r="B291" t="s">
        <v>800</v>
      </c>
      <c r="C291" t="s">
        <v>801</v>
      </c>
      <c r="E291" t="s">
        <v>271</v>
      </c>
      <c r="F291" t="s">
        <v>1023</v>
      </c>
      <c r="G291" t="s">
        <v>425</v>
      </c>
    </row>
    <row r="292" spans="1:7">
      <c r="A292" s="14">
        <v>80046</v>
      </c>
      <c r="B292" t="s">
        <v>804</v>
      </c>
      <c r="C292" t="s">
        <v>805</v>
      </c>
      <c r="E292" t="s">
        <v>271</v>
      </c>
      <c r="F292" t="s">
        <v>1023</v>
      </c>
      <c r="G292" t="s">
        <v>402</v>
      </c>
    </row>
    <row r="293" spans="1:7">
      <c r="A293" s="14">
        <v>80047</v>
      </c>
      <c r="B293" t="s">
        <v>813</v>
      </c>
      <c r="C293" t="s">
        <v>814</v>
      </c>
      <c r="E293" t="s">
        <v>271</v>
      </c>
      <c r="F293" t="s">
        <v>1023</v>
      </c>
      <c r="G293" t="s">
        <v>425</v>
      </c>
    </row>
    <row r="294" spans="1:7">
      <c r="A294" s="14">
        <v>80048</v>
      </c>
      <c r="B294" t="s">
        <v>813</v>
      </c>
      <c r="C294" t="s">
        <v>815</v>
      </c>
      <c r="E294" t="s">
        <v>271</v>
      </c>
      <c r="F294" t="s">
        <v>1023</v>
      </c>
      <c r="G294" t="s">
        <v>425</v>
      </c>
    </row>
    <row r="295" spans="1:7">
      <c r="A295" s="14">
        <v>80049</v>
      </c>
      <c r="B295" t="s">
        <v>821</v>
      </c>
      <c r="C295" t="s">
        <v>822</v>
      </c>
      <c r="E295" t="s">
        <v>271</v>
      </c>
      <c r="F295" t="s">
        <v>1023</v>
      </c>
      <c r="G295" t="s">
        <v>402</v>
      </c>
    </row>
    <row r="296" spans="1:7">
      <c r="A296" s="14">
        <v>80050</v>
      </c>
      <c r="B296" t="s">
        <v>834</v>
      </c>
      <c r="C296" t="s">
        <v>835</v>
      </c>
      <c r="E296" t="s">
        <v>271</v>
      </c>
      <c r="F296" t="s">
        <v>1023</v>
      </c>
      <c r="G296" t="s">
        <v>425</v>
      </c>
    </row>
    <row r="297" spans="1:7">
      <c r="A297" s="14">
        <v>80051</v>
      </c>
      <c r="B297" t="s">
        <v>839</v>
      </c>
      <c r="C297" t="s">
        <v>840</v>
      </c>
      <c r="E297" t="s">
        <v>271</v>
      </c>
      <c r="F297" t="s">
        <v>1023</v>
      </c>
      <c r="G297" t="s">
        <v>425</v>
      </c>
    </row>
    <row r="298" spans="1:7">
      <c r="A298" s="14">
        <v>80052</v>
      </c>
      <c r="B298" t="s">
        <v>845</v>
      </c>
      <c r="C298" t="s">
        <v>846</v>
      </c>
      <c r="E298" t="s">
        <v>271</v>
      </c>
      <c r="F298" t="s">
        <v>1023</v>
      </c>
      <c r="G298" t="s">
        <v>402</v>
      </c>
    </row>
    <row r="299" spans="1:7">
      <c r="A299" s="14">
        <v>80053</v>
      </c>
      <c r="B299" t="s">
        <v>851</v>
      </c>
      <c r="C299" t="s">
        <v>837</v>
      </c>
      <c r="E299" t="s">
        <v>271</v>
      </c>
      <c r="F299" t="s">
        <v>1023</v>
      </c>
      <c r="G299" t="s">
        <v>407</v>
      </c>
    </row>
    <row r="300" spans="1:7">
      <c r="A300" s="14">
        <v>80054</v>
      </c>
      <c r="B300" t="s">
        <v>829</v>
      </c>
      <c r="C300" t="s">
        <v>864</v>
      </c>
      <c r="E300" t="s">
        <v>271</v>
      </c>
      <c r="F300" t="s">
        <v>1023</v>
      </c>
      <c r="G300" t="s">
        <v>425</v>
      </c>
    </row>
    <row r="301" spans="1:7">
      <c r="A301" s="14">
        <v>80055</v>
      </c>
      <c r="B301" t="s">
        <v>829</v>
      </c>
      <c r="C301" t="s">
        <v>866</v>
      </c>
      <c r="E301" t="s">
        <v>271</v>
      </c>
      <c r="F301" t="s">
        <v>1023</v>
      </c>
      <c r="G301" t="s">
        <v>425</v>
      </c>
    </row>
    <row r="302" spans="1:7">
      <c r="A302" s="14">
        <v>80056</v>
      </c>
      <c r="B302" t="s">
        <v>867</v>
      </c>
      <c r="C302" t="s">
        <v>868</v>
      </c>
      <c r="E302" t="s">
        <v>271</v>
      </c>
      <c r="F302" t="s">
        <v>1023</v>
      </c>
      <c r="G302" t="s">
        <v>402</v>
      </c>
    </row>
    <row r="303" spans="1:7">
      <c r="A303" s="14">
        <v>80057</v>
      </c>
      <c r="B303" t="s">
        <v>884</v>
      </c>
      <c r="C303" t="s">
        <v>737</v>
      </c>
      <c r="E303" t="s">
        <v>271</v>
      </c>
      <c r="F303" t="s">
        <v>1023</v>
      </c>
      <c r="G303" t="s">
        <v>402</v>
      </c>
    </row>
    <row r="304" spans="1:7">
      <c r="A304" s="14">
        <v>80058</v>
      </c>
      <c r="B304" t="s">
        <v>892</v>
      </c>
      <c r="C304" t="s">
        <v>893</v>
      </c>
      <c r="E304" t="s">
        <v>271</v>
      </c>
      <c r="F304" t="s">
        <v>1023</v>
      </c>
      <c r="G304" t="s">
        <v>402</v>
      </c>
    </row>
    <row r="305" spans="1:7">
      <c r="A305" s="14">
        <v>80059</v>
      </c>
      <c r="B305" t="s">
        <v>907</v>
      </c>
      <c r="C305" t="s">
        <v>908</v>
      </c>
      <c r="E305" t="s">
        <v>271</v>
      </c>
      <c r="F305" t="s">
        <v>1023</v>
      </c>
      <c r="G305" t="s">
        <v>425</v>
      </c>
    </row>
    <row r="306" spans="1:7">
      <c r="A306" s="14">
        <v>80060</v>
      </c>
      <c r="B306" t="s">
        <v>922</v>
      </c>
      <c r="C306" t="s">
        <v>923</v>
      </c>
      <c r="E306" t="s">
        <v>271</v>
      </c>
      <c r="F306" t="s">
        <v>1023</v>
      </c>
      <c r="G306" t="s">
        <v>425</v>
      </c>
    </row>
    <row r="307" spans="1:7">
      <c r="A307" s="14">
        <v>80061</v>
      </c>
      <c r="B307" t="s">
        <v>929</v>
      </c>
      <c r="C307" t="s">
        <v>673</v>
      </c>
      <c r="E307" t="s">
        <v>271</v>
      </c>
      <c r="F307" t="s">
        <v>1023</v>
      </c>
      <c r="G307" t="s">
        <v>425</v>
      </c>
    </row>
    <row r="308" spans="1:7">
      <c r="A308" s="14">
        <v>80062</v>
      </c>
      <c r="B308" t="s">
        <v>932</v>
      </c>
      <c r="C308" t="s">
        <v>933</v>
      </c>
      <c r="E308" t="s">
        <v>271</v>
      </c>
      <c r="F308" t="s">
        <v>1023</v>
      </c>
      <c r="G308" t="s">
        <v>402</v>
      </c>
    </row>
    <row r="309" spans="1:7">
      <c r="A309" s="14">
        <v>80063</v>
      </c>
      <c r="B309" t="s">
        <v>965</v>
      </c>
      <c r="C309" t="s">
        <v>957</v>
      </c>
      <c r="E309" t="s">
        <v>271</v>
      </c>
      <c r="F309" t="s">
        <v>1023</v>
      </c>
      <c r="G309" t="s">
        <v>402</v>
      </c>
    </row>
    <row r="310" spans="1:7">
      <c r="A310" s="14">
        <v>80064</v>
      </c>
      <c r="B310" t="s">
        <v>971</v>
      </c>
      <c r="C310" t="s">
        <v>972</v>
      </c>
      <c r="E310" t="s">
        <v>271</v>
      </c>
      <c r="F310" t="s">
        <v>1023</v>
      </c>
      <c r="G310" t="s">
        <v>402</v>
      </c>
    </row>
    <row r="311" spans="1:7">
      <c r="A311" s="14">
        <v>80065</v>
      </c>
      <c r="B311" t="s">
        <v>981</v>
      </c>
      <c r="C311" t="s">
        <v>697</v>
      </c>
      <c r="E311" t="s">
        <v>271</v>
      </c>
      <c r="F311" t="s">
        <v>1023</v>
      </c>
      <c r="G311" t="s">
        <v>407</v>
      </c>
    </row>
    <row r="312" spans="1:7">
      <c r="A312" s="14">
        <v>80066</v>
      </c>
      <c r="B312" t="s">
        <v>1001</v>
      </c>
      <c r="C312" t="s">
        <v>1004</v>
      </c>
      <c r="E312" t="s">
        <v>271</v>
      </c>
      <c r="F312" t="s">
        <v>1023</v>
      </c>
      <c r="G312" t="s">
        <v>402</v>
      </c>
    </row>
    <row r="313" spans="1:7">
      <c r="A313" s="14">
        <v>80067</v>
      </c>
      <c r="B313" t="s">
        <v>1009</v>
      </c>
      <c r="C313" t="s">
        <v>1010</v>
      </c>
      <c r="E313" t="s">
        <v>271</v>
      </c>
      <c r="F313" t="s">
        <v>1023</v>
      </c>
      <c r="G313" t="s">
        <v>425</v>
      </c>
    </row>
    <row r="314" spans="1:7">
      <c r="A314" s="14">
        <v>90001</v>
      </c>
      <c r="B314" t="s">
        <v>1019</v>
      </c>
      <c r="C314" t="s">
        <v>401</v>
      </c>
      <c r="E314" t="s">
        <v>339</v>
      </c>
      <c r="F314" t="s">
        <v>1023</v>
      </c>
      <c r="G314" t="s">
        <v>402</v>
      </c>
    </row>
    <row r="315" spans="1:7">
      <c r="A315" s="14">
        <v>90002</v>
      </c>
      <c r="B315" t="s">
        <v>423</v>
      </c>
      <c r="C315" t="s">
        <v>424</v>
      </c>
      <c r="E315" t="s">
        <v>339</v>
      </c>
      <c r="F315" t="s">
        <v>1023</v>
      </c>
      <c r="G315" t="s">
        <v>425</v>
      </c>
    </row>
    <row r="316" spans="1:7">
      <c r="A316" s="14">
        <v>90003</v>
      </c>
      <c r="B316" t="s">
        <v>430</v>
      </c>
      <c r="C316" t="s">
        <v>431</v>
      </c>
      <c r="E316" t="s">
        <v>339</v>
      </c>
      <c r="F316" t="s">
        <v>1023</v>
      </c>
      <c r="G316" t="s">
        <v>425</v>
      </c>
    </row>
    <row r="317" spans="1:7">
      <c r="A317" s="14">
        <v>90004</v>
      </c>
      <c r="B317" t="s">
        <v>469</v>
      </c>
      <c r="C317" t="s">
        <v>470</v>
      </c>
      <c r="E317" t="s">
        <v>339</v>
      </c>
      <c r="F317" t="s">
        <v>1023</v>
      </c>
      <c r="G317" t="s">
        <v>425</v>
      </c>
    </row>
    <row r="318" spans="1:7">
      <c r="A318" s="14">
        <v>90005</v>
      </c>
      <c r="B318" t="s">
        <v>477</v>
      </c>
      <c r="C318" t="s">
        <v>478</v>
      </c>
      <c r="E318" t="s">
        <v>339</v>
      </c>
      <c r="F318" t="s">
        <v>1023</v>
      </c>
      <c r="G318" t="s">
        <v>407</v>
      </c>
    </row>
    <row r="319" spans="1:7">
      <c r="A319" s="14">
        <v>90006</v>
      </c>
      <c r="B319" t="s">
        <v>481</v>
      </c>
      <c r="C319" t="s">
        <v>482</v>
      </c>
      <c r="E319" t="s">
        <v>339</v>
      </c>
      <c r="F319" t="s">
        <v>1023</v>
      </c>
      <c r="G319" t="s">
        <v>425</v>
      </c>
    </row>
    <row r="320" spans="1:7">
      <c r="A320" s="14">
        <v>90007</v>
      </c>
      <c r="B320" t="s">
        <v>487</v>
      </c>
      <c r="C320" t="s">
        <v>488</v>
      </c>
      <c r="E320" t="s">
        <v>339</v>
      </c>
      <c r="F320" t="s">
        <v>1023</v>
      </c>
      <c r="G320" t="s">
        <v>425</v>
      </c>
    </row>
    <row r="321" spans="1:7">
      <c r="A321" s="14">
        <v>90008</v>
      </c>
      <c r="B321" t="s">
        <v>497</v>
      </c>
      <c r="C321" t="s">
        <v>498</v>
      </c>
      <c r="E321" t="s">
        <v>339</v>
      </c>
      <c r="F321" t="s">
        <v>1023</v>
      </c>
      <c r="G321" t="s">
        <v>407</v>
      </c>
    </row>
    <row r="322" spans="1:7">
      <c r="A322" s="14">
        <v>90009</v>
      </c>
      <c r="B322" t="s">
        <v>503</v>
      </c>
      <c r="C322" t="s">
        <v>504</v>
      </c>
      <c r="E322" t="s">
        <v>339</v>
      </c>
      <c r="F322" t="s">
        <v>1023</v>
      </c>
      <c r="G322" t="s">
        <v>425</v>
      </c>
    </row>
    <row r="323" spans="1:7">
      <c r="A323" s="14">
        <v>90010</v>
      </c>
      <c r="B323" t="s">
        <v>509</v>
      </c>
      <c r="C323" t="s">
        <v>401</v>
      </c>
      <c r="E323" t="s">
        <v>339</v>
      </c>
      <c r="F323" t="s">
        <v>1023</v>
      </c>
      <c r="G323" t="s">
        <v>407</v>
      </c>
    </row>
    <row r="324" spans="1:7">
      <c r="A324" s="14">
        <v>90011</v>
      </c>
      <c r="B324" t="s">
        <v>518</v>
      </c>
      <c r="C324" t="s">
        <v>519</v>
      </c>
      <c r="E324" t="s">
        <v>339</v>
      </c>
      <c r="F324" t="s">
        <v>1023</v>
      </c>
      <c r="G324" t="s">
        <v>407</v>
      </c>
    </row>
    <row r="325" spans="1:7">
      <c r="A325" s="14">
        <v>90012</v>
      </c>
      <c r="B325" t="s">
        <v>539</v>
      </c>
      <c r="C325" t="s">
        <v>540</v>
      </c>
      <c r="E325" t="s">
        <v>339</v>
      </c>
      <c r="F325" t="s">
        <v>1023</v>
      </c>
      <c r="G325" t="s">
        <v>425</v>
      </c>
    </row>
    <row r="326" spans="1:7">
      <c r="A326" s="14">
        <v>90013</v>
      </c>
      <c r="B326" t="s">
        <v>560</v>
      </c>
      <c r="C326" t="s">
        <v>561</v>
      </c>
      <c r="E326" t="s">
        <v>339</v>
      </c>
      <c r="F326" t="s">
        <v>1023</v>
      </c>
      <c r="G326" t="s">
        <v>425</v>
      </c>
    </row>
    <row r="327" spans="1:7">
      <c r="A327" s="14">
        <v>90014</v>
      </c>
      <c r="B327" t="s">
        <v>589</v>
      </c>
      <c r="C327" t="s">
        <v>590</v>
      </c>
      <c r="E327" t="s">
        <v>339</v>
      </c>
      <c r="F327" t="s">
        <v>1023</v>
      </c>
      <c r="G327" t="s">
        <v>402</v>
      </c>
    </row>
    <row r="328" spans="1:7">
      <c r="A328" s="14">
        <v>90015</v>
      </c>
      <c r="B328" t="s">
        <v>602</v>
      </c>
      <c r="C328" t="s">
        <v>603</v>
      </c>
      <c r="E328" t="s">
        <v>339</v>
      </c>
      <c r="F328" t="s">
        <v>1023</v>
      </c>
      <c r="G328" t="s">
        <v>425</v>
      </c>
    </row>
    <row r="329" spans="1:7">
      <c r="A329" s="14">
        <v>90016</v>
      </c>
      <c r="B329" t="s">
        <v>616</v>
      </c>
      <c r="C329" t="s">
        <v>618</v>
      </c>
      <c r="E329" t="s">
        <v>339</v>
      </c>
      <c r="F329" t="s">
        <v>1023</v>
      </c>
      <c r="G329" t="s">
        <v>402</v>
      </c>
    </row>
    <row r="330" spans="1:7">
      <c r="A330" s="14">
        <v>90017</v>
      </c>
      <c r="B330" t="s">
        <v>621</v>
      </c>
      <c r="C330" t="s">
        <v>622</v>
      </c>
      <c r="E330" t="s">
        <v>339</v>
      </c>
      <c r="F330" t="s">
        <v>1023</v>
      </c>
      <c r="G330" t="s">
        <v>402</v>
      </c>
    </row>
    <row r="331" spans="1:7">
      <c r="A331" s="14">
        <v>90018</v>
      </c>
      <c r="B331" t="s">
        <v>647</v>
      </c>
      <c r="C331" t="s">
        <v>648</v>
      </c>
      <c r="E331" t="s">
        <v>339</v>
      </c>
      <c r="F331" t="s">
        <v>1023</v>
      </c>
      <c r="G331" t="s">
        <v>425</v>
      </c>
    </row>
    <row r="332" spans="1:7">
      <c r="A332" s="14">
        <v>90019</v>
      </c>
      <c r="B332" t="s">
        <v>664</v>
      </c>
      <c r="C332" t="s">
        <v>665</v>
      </c>
      <c r="E332" t="s">
        <v>339</v>
      </c>
      <c r="F332" t="s">
        <v>1023</v>
      </c>
      <c r="G332" t="s">
        <v>407</v>
      </c>
    </row>
    <row r="333" spans="1:7">
      <c r="A333" s="14">
        <v>90020</v>
      </c>
      <c r="B333" t="s">
        <v>670</v>
      </c>
      <c r="C333" t="s">
        <v>671</v>
      </c>
      <c r="E333" t="s">
        <v>339</v>
      </c>
      <c r="F333" t="s">
        <v>1023</v>
      </c>
      <c r="G333" t="s">
        <v>425</v>
      </c>
    </row>
    <row r="334" spans="1:7">
      <c r="A334" s="14">
        <v>90021</v>
      </c>
      <c r="B334" t="s">
        <v>686</v>
      </c>
      <c r="C334" t="s">
        <v>687</v>
      </c>
      <c r="E334" t="s">
        <v>339</v>
      </c>
      <c r="F334" t="s">
        <v>1023</v>
      </c>
      <c r="G334" t="s">
        <v>402</v>
      </c>
    </row>
    <row r="335" spans="1:7">
      <c r="A335" s="14">
        <v>90022</v>
      </c>
      <c r="B335" t="s">
        <v>702</v>
      </c>
      <c r="C335" t="s">
        <v>703</v>
      </c>
      <c r="E335" t="s">
        <v>339</v>
      </c>
      <c r="F335" t="s">
        <v>1023</v>
      </c>
      <c r="G335" t="s">
        <v>407</v>
      </c>
    </row>
    <row r="336" spans="1:7">
      <c r="A336" s="14">
        <v>90023</v>
      </c>
      <c r="B336" t="s">
        <v>714</v>
      </c>
      <c r="C336" t="s">
        <v>715</v>
      </c>
      <c r="E336" t="s">
        <v>339</v>
      </c>
      <c r="F336" t="s">
        <v>1023</v>
      </c>
      <c r="G336" t="s">
        <v>402</v>
      </c>
    </row>
    <row r="337" spans="1:7">
      <c r="A337" s="14">
        <v>90024</v>
      </c>
      <c r="B337" t="s">
        <v>730</v>
      </c>
      <c r="C337" t="s">
        <v>435</v>
      </c>
      <c r="E337" t="s">
        <v>339</v>
      </c>
      <c r="F337" t="s">
        <v>1023</v>
      </c>
      <c r="G337" t="s">
        <v>402</v>
      </c>
    </row>
    <row r="338" spans="1:7">
      <c r="A338" s="14">
        <v>90025</v>
      </c>
      <c r="B338" t="s">
        <v>736</v>
      </c>
      <c r="C338" t="s">
        <v>737</v>
      </c>
      <c r="E338" t="s">
        <v>339</v>
      </c>
      <c r="F338" t="s">
        <v>1023</v>
      </c>
      <c r="G338" t="s">
        <v>402</v>
      </c>
    </row>
    <row r="339" spans="1:7">
      <c r="A339" s="14">
        <v>90026</v>
      </c>
      <c r="B339" t="s">
        <v>754</v>
      </c>
      <c r="C339" t="s">
        <v>468</v>
      </c>
      <c r="E339" t="s">
        <v>339</v>
      </c>
      <c r="F339" t="s">
        <v>1023</v>
      </c>
      <c r="G339" t="s">
        <v>425</v>
      </c>
    </row>
    <row r="340" spans="1:7">
      <c r="A340" s="14">
        <v>90027</v>
      </c>
      <c r="B340" t="s">
        <v>779</v>
      </c>
      <c r="C340" t="s">
        <v>620</v>
      </c>
      <c r="E340" t="s">
        <v>339</v>
      </c>
      <c r="F340" t="s">
        <v>1023</v>
      </c>
      <c r="G340" t="s">
        <v>402</v>
      </c>
    </row>
    <row r="341" spans="1:7">
      <c r="A341" s="14">
        <v>90028</v>
      </c>
      <c r="B341" t="s">
        <v>796</v>
      </c>
      <c r="C341" t="s">
        <v>797</v>
      </c>
      <c r="E341" t="s">
        <v>339</v>
      </c>
      <c r="F341" t="s">
        <v>1023</v>
      </c>
      <c r="G341" t="s">
        <v>407</v>
      </c>
    </row>
    <row r="342" spans="1:7">
      <c r="A342" s="14">
        <v>90029</v>
      </c>
      <c r="B342" t="s">
        <v>811</v>
      </c>
      <c r="C342" t="s">
        <v>812</v>
      </c>
      <c r="E342" t="s">
        <v>339</v>
      </c>
      <c r="F342" t="s">
        <v>1023</v>
      </c>
      <c r="G342" t="s">
        <v>407</v>
      </c>
    </row>
    <row r="343" spans="1:7">
      <c r="A343" s="14">
        <v>90030</v>
      </c>
      <c r="B343" t="s">
        <v>823</v>
      </c>
      <c r="C343" t="s">
        <v>824</v>
      </c>
      <c r="E343" t="s">
        <v>339</v>
      </c>
      <c r="F343" t="s">
        <v>1023</v>
      </c>
      <c r="G343" t="s">
        <v>407</v>
      </c>
    </row>
    <row r="344" spans="1:7">
      <c r="A344" s="14">
        <v>90031</v>
      </c>
      <c r="B344" t="s">
        <v>836</v>
      </c>
      <c r="C344" t="s">
        <v>837</v>
      </c>
      <c r="E344" t="s">
        <v>339</v>
      </c>
      <c r="F344" t="s">
        <v>1023</v>
      </c>
      <c r="G344" t="s">
        <v>402</v>
      </c>
    </row>
    <row r="345" spans="1:7">
      <c r="A345" s="14">
        <v>90032</v>
      </c>
      <c r="B345" t="s">
        <v>843</v>
      </c>
      <c r="C345" t="s">
        <v>844</v>
      </c>
      <c r="E345" t="s">
        <v>339</v>
      </c>
      <c r="F345" t="s">
        <v>1023</v>
      </c>
      <c r="G345" t="s">
        <v>402</v>
      </c>
    </row>
    <row r="346" spans="1:7">
      <c r="A346" s="14">
        <v>90033</v>
      </c>
      <c r="B346" t="s">
        <v>861</v>
      </c>
      <c r="C346" t="s">
        <v>862</v>
      </c>
      <c r="E346" t="s">
        <v>339</v>
      </c>
      <c r="F346" t="s">
        <v>1023</v>
      </c>
      <c r="G346" t="s">
        <v>402</v>
      </c>
    </row>
    <row r="347" spans="1:7">
      <c r="A347" s="14">
        <v>90034</v>
      </c>
      <c r="B347" t="s">
        <v>867</v>
      </c>
      <c r="C347" t="s">
        <v>557</v>
      </c>
      <c r="E347" t="s">
        <v>339</v>
      </c>
      <c r="F347" t="s">
        <v>1023</v>
      </c>
      <c r="G347" t="s">
        <v>425</v>
      </c>
    </row>
    <row r="348" spans="1:7">
      <c r="A348" s="14">
        <v>90035</v>
      </c>
      <c r="B348" t="s">
        <v>867</v>
      </c>
      <c r="C348" t="s">
        <v>870</v>
      </c>
      <c r="E348" t="s">
        <v>339</v>
      </c>
      <c r="F348" t="s">
        <v>1023</v>
      </c>
      <c r="G348" t="s">
        <v>425</v>
      </c>
    </row>
    <row r="349" spans="1:7">
      <c r="A349" s="14">
        <v>90036</v>
      </c>
      <c r="B349" t="s">
        <v>882</v>
      </c>
      <c r="C349" t="s">
        <v>883</v>
      </c>
      <c r="E349" t="s">
        <v>339</v>
      </c>
      <c r="F349" t="s">
        <v>1023</v>
      </c>
      <c r="G349" t="s">
        <v>402</v>
      </c>
    </row>
    <row r="350" spans="1:7">
      <c r="A350" s="14">
        <v>90037</v>
      </c>
      <c r="B350" t="s">
        <v>905</v>
      </c>
      <c r="C350" t="s">
        <v>906</v>
      </c>
      <c r="E350" t="s">
        <v>339</v>
      </c>
      <c r="F350" t="s">
        <v>1023</v>
      </c>
      <c r="G350" t="s">
        <v>402</v>
      </c>
    </row>
    <row r="351" spans="1:7">
      <c r="A351" s="14">
        <v>90038</v>
      </c>
      <c r="B351" t="s">
        <v>915</v>
      </c>
      <c r="C351" t="s">
        <v>917</v>
      </c>
      <c r="E351" t="s">
        <v>339</v>
      </c>
      <c r="F351" t="s">
        <v>1023</v>
      </c>
      <c r="G351" t="s">
        <v>402</v>
      </c>
    </row>
    <row r="352" spans="1:7">
      <c r="A352" s="14">
        <v>90039</v>
      </c>
      <c r="B352" t="s">
        <v>928</v>
      </c>
      <c r="C352" t="s">
        <v>883</v>
      </c>
      <c r="E352" t="s">
        <v>339</v>
      </c>
      <c r="F352" t="s">
        <v>1023</v>
      </c>
      <c r="G352" t="s">
        <v>402</v>
      </c>
    </row>
    <row r="353" spans="1:7">
      <c r="A353" s="14">
        <v>90040</v>
      </c>
      <c r="B353" t="s">
        <v>930</v>
      </c>
      <c r="C353" t="s">
        <v>931</v>
      </c>
      <c r="E353" t="s">
        <v>339</v>
      </c>
      <c r="F353" t="s">
        <v>1023</v>
      </c>
      <c r="G353" t="s">
        <v>407</v>
      </c>
    </row>
    <row r="354" spans="1:7">
      <c r="A354" s="14">
        <v>90041</v>
      </c>
      <c r="B354" t="s">
        <v>950</v>
      </c>
      <c r="C354" t="s">
        <v>951</v>
      </c>
      <c r="E354" t="s">
        <v>339</v>
      </c>
      <c r="F354" t="s">
        <v>1023</v>
      </c>
      <c r="G354" t="s">
        <v>402</v>
      </c>
    </row>
    <row r="355" spans="1:7">
      <c r="A355" s="14">
        <v>90042</v>
      </c>
      <c r="B355" t="s">
        <v>965</v>
      </c>
      <c r="C355" t="s">
        <v>966</v>
      </c>
      <c r="E355" t="s">
        <v>339</v>
      </c>
      <c r="F355" t="s">
        <v>1023</v>
      </c>
      <c r="G355" t="s">
        <v>425</v>
      </c>
    </row>
    <row r="356" spans="1:7">
      <c r="A356" s="14">
        <v>90043</v>
      </c>
      <c r="B356" t="s">
        <v>984</v>
      </c>
      <c r="C356" t="s">
        <v>985</v>
      </c>
      <c r="E356" t="s">
        <v>339</v>
      </c>
      <c r="F356" t="s">
        <v>1023</v>
      </c>
      <c r="G356" t="s">
        <v>402</v>
      </c>
    </row>
    <row r="357" spans="1:7">
      <c r="A357" s="14">
        <v>90044</v>
      </c>
      <c r="B357" t="s">
        <v>986</v>
      </c>
      <c r="C357" t="s">
        <v>719</v>
      </c>
      <c r="E357" t="s">
        <v>339</v>
      </c>
      <c r="F357" t="s">
        <v>1023</v>
      </c>
      <c r="G357" t="s">
        <v>402</v>
      </c>
    </row>
    <row r="358" spans="1:7">
      <c r="A358" s="14"/>
    </row>
    <row r="359" spans="1:7">
      <c r="A359" s="14"/>
    </row>
    <row r="360" spans="1:7">
      <c r="A360" s="14"/>
    </row>
    <row r="361" spans="1:7">
      <c r="A361" s="14"/>
    </row>
    <row r="362" spans="1:7">
      <c r="A362" s="14"/>
    </row>
    <row r="363" spans="1:7">
      <c r="A363" s="14"/>
    </row>
    <row r="364" spans="1:7">
      <c r="A364" s="14"/>
    </row>
    <row r="365" spans="1:7">
      <c r="A365" s="14"/>
    </row>
    <row r="366" spans="1:7">
      <c r="A366" s="14"/>
    </row>
    <row r="367" spans="1:7">
      <c r="A367" s="14"/>
    </row>
    <row r="368" spans="1:7">
      <c r="A368" s="14"/>
    </row>
    <row r="369" spans="1:1">
      <c r="A369" s="14"/>
    </row>
    <row r="370" spans="1:1">
      <c r="A370" s="14"/>
    </row>
    <row r="371" spans="1:1">
      <c r="A371" s="14"/>
    </row>
    <row r="372" spans="1:1">
      <c r="A372" s="14"/>
    </row>
    <row r="373" spans="1:1">
      <c r="A373" s="14"/>
    </row>
    <row r="374" spans="1:1">
      <c r="A374" s="14"/>
    </row>
    <row r="375" spans="1:1">
      <c r="A375" s="14"/>
    </row>
    <row r="376" spans="1:1">
      <c r="A376" s="14"/>
    </row>
    <row r="377" spans="1:1">
      <c r="A377" s="14"/>
    </row>
    <row r="378" spans="1:1">
      <c r="A378" s="14"/>
    </row>
    <row r="379" spans="1:1">
      <c r="A379" s="14"/>
    </row>
    <row r="380" spans="1:1">
      <c r="A380" s="14"/>
    </row>
    <row r="381" spans="1:1">
      <c r="A381" s="14"/>
    </row>
    <row r="382" spans="1:1">
      <c r="A382" s="14"/>
    </row>
    <row r="383" spans="1:1">
      <c r="A383" s="14"/>
    </row>
    <row r="384" spans="1:1">
      <c r="A384" s="14"/>
    </row>
    <row r="385" spans="1:1">
      <c r="A385" s="14"/>
    </row>
    <row r="386" spans="1:1">
      <c r="A386" s="14"/>
    </row>
    <row r="387" spans="1:1">
      <c r="A387" s="14"/>
    </row>
    <row r="388" spans="1:1">
      <c r="A388" s="14"/>
    </row>
    <row r="389" spans="1:1">
      <c r="A389" s="14"/>
    </row>
    <row r="390" spans="1:1">
      <c r="A390" s="14"/>
    </row>
    <row r="391" spans="1:1">
      <c r="A391" s="14"/>
    </row>
    <row r="392" spans="1:1">
      <c r="A392" s="14"/>
    </row>
    <row r="393" spans="1:1">
      <c r="A393" s="14"/>
    </row>
    <row r="394" spans="1:1">
      <c r="A394" s="14"/>
    </row>
    <row r="395" spans="1:1">
      <c r="A395" s="14"/>
    </row>
    <row r="396" spans="1:1">
      <c r="A396" s="14"/>
    </row>
    <row r="397" spans="1:1">
      <c r="A397" s="14"/>
    </row>
    <row r="398" spans="1:1">
      <c r="A398" s="14"/>
    </row>
    <row r="399" spans="1:1">
      <c r="A399" s="14"/>
    </row>
    <row r="400" spans="1:1">
      <c r="A400" s="14"/>
    </row>
    <row r="401" spans="1:1">
      <c r="A401" s="14"/>
    </row>
    <row r="402" spans="1:1">
      <c r="A402" s="14"/>
    </row>
    <row r="403" spans="1:1">
      <c r="A403" s="14"/>
    </row>
    <row r="404" spans="1:1">
      <c r="A404" s="14"/>
    </row>
    <row r="405" spans="1:1">
      <c r="A405" s="14"/>
    </row>
    <row r="406" spans="1:1">
      <c r="A406" s="14"/>
    </row>
    <row r="407" spans="1:1">
      <c r="A407" s="14"/>
    </row>
    <row r="408" spans="1:1">
      <c r="A408" s="14"/>
    </row>
    <row r="409" spans="1:1">
      <c r="A409" s="14"/>
    </row>
    <row r="410" spans="1:1">
      <c r="A410" s="14"/>
    </row>
    <row r="411" spans="1:1">
      <c r="A411" s="14"/>
    </row>
    <row r="412" spans="1:1">
      <c r="A412" s="14"/>
    </row>
    <row r="413" spans="1:1">
      <c r="A413" s="14"/>
    </row>
    <row r="414" spans="1:1">
      <c r="A414" s="14"/>
    </row>
    <row r="415" spans="1:1">
      <c r="A415" s="14"/>
    </row>
    <row r="416" spans="1:1">
      <c r="A416" s="14"/>
    </row>
    <row r="417" spans="1:1">
      <c r="A417" s="14"/>
    </row>
    <row r="418" spans="1:1">
      <c r="A418" s="14"/>
    </row>
    <row r="419" spans="1:1">
      <c r="A419" s="14"/>
    </row>
    <row r="420" spans="1:1">
      <c r="A420" s="14"/>
    </row>
    <row r="421" spans="1:1">
      <c r="A421" s="14"/>
    </row>
    <row r="422" spans="1:1">
      <c r="A422" s="14"/>
    </row>
    <row r="423" spans="1:1">
      <c r="A423" s="14"/>
    </row>
    <row r="424" spans="1:1">
      <c r="A424" s="14"/>
    </row>
    <row r="425" spans="1:1">
      <c r="A425" s="14"/>
    </row>
    <row r="426" spans="1:1">
      <c r="A426" s="14"/>
    </row>
    <row r="427" spans="1:1">
      <c r="A427" s="14"/>
    </row>
    <row r="428" spans="1:1">
      <c r="A428" s="14"/>
    </row>
    <row r="429" spans="1:1">
      <c r="A429" s="14"/>
    </row>
    <row r="430" spans="1:1">
      <c r="A430" s="14"/>
    </row>
    <row r="431" spans="1:1">
      <c r="A431" s="14"/>
    </row>
    <row r="432" spans="1:1">
      <c r="A432" s="14"/>
    </row>
    <row r="433" spans="1:1">
      <c r="A433" s="14"/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>
      <c r="A457" s="14"/>
    </row>
    <row r="458" spans="1:1">
      <c r="A458" s="14"/>
    </row>
    <row r="459" spans="1:1">
      <c r="A459" s="14"/>
    </row>
    <row r="460" spans="1:1">
      <c r="A460" s="14"/>
    </row>
    <row r="461" spans="1:1">
      <c r="A461" s="14"/>
    </row>
    <row r="462" spans="1:1">
      <c r="A462" s="14"/>
    </row>
    <row r="463" spans="1:1">
      <c r="A463" s="14"/>
    </row>
    <row r="464" spans="1:1">
      <c r="A464" s="14"/>
    </row>
    <row r="465" spans="1:1">
      <c r="A465" s="14"/>
    </row>
    <row r="466" spans="1:1">
      <c r="A466" s="14"/>
    </row>
    <row r="467" spans="1:1">
      <c r="A467" s="14"/>
    </row>
    <row r="468" spans="1:1">
      <c r="A468" s="14"/>
    </row>
    <row r="469" spans="1:1">
      <c r="A469" s="14"/>
    </row>
    <row r="470" spans="1:1">
      <c r="A470" s="14"/>
    </row>
    <row r="471" spans="1:1">
      <c r="A471" s="14"/>
    </row>
    <row r="472" spans="1:1">
      <c r="A472" s="14"/>
    </row>
    <row r="473" spans="1:1">
      <c r="A473" s="14"/>
    </row>
    <row r="474" spans="1:1">
      <c r="A474" s="14"/>
    </row>
    <row r="475" spans="1:1">
      <c r="A475" s="14"/>
    </row>
    <row r="476" spans="1:1">
      <c r="A476" s="14"/>
    </row>
    <row r="477" spans="1:1">
      <c r="A477" s="14"/>
    </row>
    <row r="478" spans="1:1">
      <c r="A478" s="14"/>
    </row>
    <row r="479" spans="1:1">
      <c r="A479" s="14"/>
    </row>
    <row r="480" spans="1:1">
      <c r="A480" s="14"/>
    </row>
    <row r="481" spans="1:1">
      <c r="A481" s="14"/>
    </row>
    <row r="482" spans="1:1">
      <c r="A482" s="14"/>
    </row>
    <row r="483" spans="1:1">
      <c r="A483" s="14"/>
    </row>
    <row r="484" spans="1:1">
      <c r="A484" s="14"/>
    </row>
    <row r="485" spans="1:1">
      <c r="A485" s="14"/>
    </row>
    <row r="486" spans="1:1">
      <c r="A486" s="14"/>
    </row>
    <row r="487" spans="1:1">
      <c r="A487" s="14"/>
    </row>
    <row r="488" spans="1:1">
      <c r="A488" s="14"/>
    </row>
    <row r="489" spans="1:1">
      <c r="A489" s="14"/>
    </row>
    <row r="490" spans="1:1">
      <c r="A490" s="14"/>
    </row>
    <row r="491" spans="1:1">
      <c r="A491" s="14"/>
    </row>
    <row r="492" spans="1:1">
      <c r="A492" s="14"/>
    </row>
    <row r="493" spans="1:1">
      <c r="A493" s="14"/>
    </row>
    <row r="494" spans="1:1">
      <c r="A494" s="14"/>
    </row>
    <row r="495" spans="1:1">
      <c r="A495" s="14"/>
    </row>
    <row r="496" spans="1:1">
      <c r="A496" s="14"/>
    </row>
    <row r="497" spans="1:1">
      <c r="A497" s="14"/>
    </row>
    <row r="498" spans="1:1">
      <c r="A498" s="14"/>
    </row>
    <row r="499" spans="1:1">
      <c r="A499" s="14"/>
    </row>
    <row r="500" spans="1:1">
      <c r="A500" s="14"/>
    </row>
    <row r="501" spans="1:1">
      <c r="A501" s="14"/>
    </row>
    <row r="502" spans="1:1">
      <c r="A502" s="14"/>
    </row>
    <row r="503" spans="1:1">
      <c r="A503" s="14"/>
    </row>
    <row r="504" spans="1:1">
      <c r="A504" s="14"/>
    </row>
    <row r="505" spans="1:1">
      <c r="A505" s="14"/>
    </row>
    <row r="506" spans="1:1">
      <c r="A506" s="14"/>
    </row>
    <row r="507" spans="1:1">
      <c r="A507" s="14"/>
    </row>
    <row r="508" spans="1:1">
      <c r="A508" s="14"/>
    </row>
    <row r="509" spans="1:1">
      <c r="A509" s="14"/>
    </row>
    <row r="510" spans="1:1">
      <c r="A510" s="14"/>
    </row>
    <row r="511" spans="1:1">
      <c r="A511" s="14"/>
    </row>
    <row r="512" spans="1:1">
      <c r="A512" s="14"/>
    </row>
    <row r="513" spans="1:1">
      <c r="A513" s="14"/>
    </row>
    <row r="514" spans="1:1">
      <c r="A514" s="14"/>
    </row>
    <row r="515" spans="1:1">
      <c r="A515" s="14"/>
    </row>
    <row r="516" spans="1:1">
      <c r="A516" s="14"/>
    </row>
    <row r="517" spans="1:1">
      <c r="A517" s="14"/>
    </row>
    <row r="518" spans="1:1">
      <c r="A518" s="14"/>
    </row>
    <row r="519" spans="1:1">
      <c r="A519" s="14"/>
    </row>
    <row r="520" spans="1:1">
      <c r="A520" s="14"/>
    </row>
    <row r="521" spans="1:1">
      <c r="A521" s="14"/>
    </row>
    <row r="522" spans="1:1">
      <c r="A522" s="14"/>
    </row>
    <row r="523" spans="1:1">
      <c r="A523" s="14"/>
    </row>
    <row r="524" spans="1:1">
      <c r="A524" s="14"/>
    </row>
    <row r="525" spans="1:1">
      <c r="A525" s="14"/>
    </row>
    <row r="526" spans="1:1">
      <c r="A526" s="14"/>
    </row>
    <row r="527" spans="1:1">
      <c r="A527" s="14"/>
    </row>
    <row r="528" spans="1:1">
      <c r="A528" s="14"/>
    </row>
    <row r="529" spans="1:1">
      <c r="A529" s="14"/>
    </row>
    <row r="530" spans="1:1">
      <c r="A530" s="14"/>
    </row>
    <row r="531" spans="1:1">
      <c r="A531" s="14"/>
    </row>
    <row r="532" spans="1:1">
      <c r="A532" s="14"/>
    </row>
    <row r="533" spans="1:1">
      <c r="A533" s="14"/>
    </row>
    <row r="534" spans="1:1">
      <c r="A534" s="14"/>
    </row>
    <row r="535" spans="1:1">
      <c r="A535" s="14"/>
    </row>
    <row r="536" spans="1:1">
      <c r="A536" s="14"/>
    </row>
    <row r="537" spans="1:1">
      <c r="A537" s="14"/>
    </row>
    <row r="538" spans="1:1">
      <c r="A538" s="14"/>
    </row>
    <row r="539" spans="1:1">
      <c r="A539" s="14"/>
    </row>
    <row r="540" spans="1:1">
      <c r="A540" s="14"/>
    </row>
    <row r="541" spans="1:1">
      <c r="A541" s="14"/>
    </row>
    <row r="542" spans="1:1">
      <c r="A542" s="14"/>
    </row>
    <row r="543" spans="1:1">
      <c r="A543" s="14"/>
    </row>
    <row r="544" spans="1:1">
      <c r="A544" s="14"/>
    </row>
    <row r="545" spans="1:1">
      <c r="A545" s="14"/>
    </row>
    <row r="546" spans="1:1">
      <c r="A546" s="14"/>
    </row>
    <row r="547" spans="1:1">
      <c r="A547" s="14"/>
    </row>
    <row r="548" spans="1:1">
      <c r="A548" s="14"/>
    </row>
    <row r="549" spans="1:1">
      <c r="A549" s="14"/>
    </row>
    <row r="550" spans="1:1">
      <c r="A550" s="14"/>
    </row>
    <row r="551" spans="1:1">
      <c r="A551" s="14"/>
    </row>
    <row r="552" spans="1:1">
      <c r="A552" s="14"/>
    </row>
    <row r="553" spans="1:1">
      <c r="A553" s="14"/>
    </row>
    <row r="554" spans="1:1">
      <c r="A554" s="14"/>
    </row>
    <row r="555" spans="1:1">
      <c r="A555" s="14"/>
    </row>
    <row r="556" spans="1:1">
      <c r="A556" s="14"/>
    </row>
    <row r="557" spans="1:1">
      <c r="A557" s="14"/>
    </row>
    <row r="558" spans="1:1">
      <c r="A558" s="14"/>
    </row>
    <row r="559" spans="1:1">
      <c r="A559" s="14"/>
    </row>
    <row r="560" spans="1:1">
      <c r="A560" s="14"/>
    </row>
    <row r="561" spans="1:1">
      <c r="A561" s="14"/>
    </row>
    <row r="562" spans="1:1">
      <c r="A562" s="14"/>
    </row>
    <row r="563" spans="1:1">
      <c r="A563" s="14"/>
    </row>
    <row r="564" spans="1:1">
      <c r="A564" s="14"/>
    </row>
    <row r="565" spans="1:1">
      <c r="A565" s="14"/>
    </row>
    <row r="566" spans="1:1">
      <c r="A566" s="14"/>
    </row>
    <row r="567" spans="1:1">
      <c r="A567" s="14"/>
    </row>
    <row r="568" spans="1:1">
      <c r="A568" s="14"/>
    </row>
    <row r="569" spans="1:1">
      <c r="A569" s="14"/>
    </row>
    <row r="570" spans="1:1">
      <c r="A570" s="14"/>
    </row>
    <row r="571" spans="1:1">
      <c r="A571" s="14"/>
    </row>
    <row r="572" spans="1:1">
      <c r="A572" s="14"/>
    </row>
    <row r="573" spans="1:1">
      <c r="A573" s="14"/>
    </row>
    <row r="574" spans="1:1">
      <c r="A574" s="14"/>
    </row>
    <row r="575" spans="1:1">
      <c r="A575" s="14"/>
    </row>
    <row r="576" spans="1:1">
      <c r="A576" s="14"/>
    </row>
    <row r="577" spans="1:1">
      <c r="A577" s="14"/>
    </row>
    <row r="578" spans="1:1">
      <c r="A578" s="14"/>
    </row>
    <row r="579" spans="1:1">
      <c r="A579" s="14"/>
    </row>
    <row r="580" spans="1:1">
      <c r="A580" s="14"/>
    </row>
    <row r="581" spans="1:1">
      <c r="A581" s="14"/>
    </row>
    <row r="582" spans="1:1">
      <c r="A582" s="14"/>
    </row>
    <row r="583" spans="1:1">
      <c r="A583" s="14"/>
    </row>
    <row r="584" spans="1:1">
      <c r="A584" s="14"/>
    </row>
    <row r="585" spans="1:1">
      <c r="A585" s="14"/>
    </row>
    <row r="586" spans="1:1">
      <c r="A586" s="14"/>
    </row>
    <row r="587" spans="1:1">
      <c r="A587" s="14"/>
    </row>
    <row r="588" spans="1:1">
      <c r="A588" s="14"/>
    </row>
    <row r="589" spans="1:1">
      <c r="A589" s="14"/>
    </row>
    <row r="590" spans="1:1">
      <c r="A590" s="14"/>
    </row>
    <row r="591" spans="1:1">
      <c r="A591" s="14"/>
    </row>
    <row r="592" spans="1:1">
      <c r="A592" s="14"/>
    </row>
    <row r="593" spans="1:1">
      <c r="A593" s="14"/>
    </row>
    <row r="594" spans="1:1">
      <c r="A594" s="14"/>
    </row>
    <row r="595" spans="1:1">
      <c r="A595" s="14"/>
    </row>
    <row r="596" spans="1:1">
      <c r="A596" s="14"/>
    </row>
    <row r="597" spans="1:1">
      <c r="A597" s="14"/>
    </row>
    <row r="598" spans="1:1">
      <c r="A598" s="14"/>
    </row>
    <row r="599" spans="1:1">
      <c r="A599" s="14"/>
    </row>
    <row r="600" spans="1:1">
      <c r="A600" s="14"/>
    </row>
    <row r="601" spans="1:1">
      <c r="A601" s="14"/>
    </row>
    <row r="602" spans="1:1">
      <c r="A602" s="14"/>
    </row>
    <row r="603" spans="1:1">
      <c r="A603" s="14"/>
    </row>
    <row r="604" spans="1:1">
      <c r="A604" s="14"/>
    </row>
    <row r="605" spans="1:1">
      <c r="A605" s="14"/>
    </row>
    <row r="606" spans="1:1">
      <c r="A606" s="14"/>
    </row>
    <row r="607" spans="1:1">
      <c r="A607" s="14"/>
    </row>
    <row r="608" spans="1:1">
      <c r="A608" s="14"/>
    </row>
    <row r="609" spans="1:1">
      <c r="A609" s="14"/>
    </row>
    <row r="610" spans="1:1">
      <c r="A610" s="14"/>
    </row>
    <row r="611" spans="1:1">
      <c r="A611" s="14"/>
    </row>
    <row r="612" spans="1:1">
      <c r="A612" s="14"/>
    </row>
    <row r="613" spans="1:1">
      <c r="A613" s="14"/>
    </row>
    <row r="614" spans="1:1">
      <c r="A614" s="14"/>
    </row>
    <row r="615" spans="1:1">
      <c r="A615" s="14"/>
    </row>
    <row r="616" spans="1:1">
      <c r="A616" s="14"/>
    </row>
    <row r="617" spans="1:1">
      <c r="A617" s="14"/>
    </row>
    <row r="618" spans="1:1">
      <c r="A618" s="14"/>
    </row>
    <row r="619" spans="1:1">
      <c r="A619" s="14"/>
    </row>
    <row r="620" spans="1:1">
      <c r="A620" s="14"/>
    </row>
    <row r="621" spans="1:1">
      <c r="A621" s="14"/>
    </row>
    <row r="622" spans="1:1">
      <c r="A622" s="14"/>
    </row>
    <row r="623" spans="1:1">
      <c r="A623" s="14"/>
    </row>
    <row r="624" spans="1:1">
      <c r="A624" s="14"/>
    </row>
    <row r="625" spans="1:1">
      <c r="A625" s="14"/>
    </row>
    <row r="626" spans="1:1">
      <c r="A626" s="14"/>
    </row>
    <row r="627" spans="1:1">
      <c r="A627" s="14"/>
    </row>
    <row r="628" spans="1:1">
      <c r="A628" s="14"/>
    </row>
    <row r="629" spans="1:1">
      <c r="A629" s="14"/>
    </row>
    <row r="630" spans="1:1">
      <c r="A630" s="14"/>
    </row>
    <row r="631" spans="1:1">
      <c r="A631" s="14"/>
    </row>
    <row r="632" spans="1:1">
      <c r="A632" s="14"/>
    </row>
    <row r="633" spans="1:1">
      <c r="A633" s="14"/>
    </row>
    <row r="634" spans="1:1">
      <c r="A634" s="14"/>
    </row>
    <row r="635" spans="1:1">
      <c r="A635" s="14"/>
    </row>
    <row r="636" spans="1:1">
      <c r="A636" s="14"/>
    </row>
    <row r="637" spans="1:1">
      <c r="A637" s="14"/>
    </row>
    <row r="638" spans="1:1">
      <c r="A638" s="14"/>
    </row>
    <row r="639" spans="1:1">
      <c r="A639" s="14"/>
    </row>
    <row r="640" spans="1:1">
      <c r="A640" s="14"/>
    </row>
    <row r="641" spans="1:1">
      <c r="A641" s="14"/>
    </row>
    <row r="642" spans="1:1">
      <c r="A642" s="14"/>
    </row>
    <row r="643" spans="1:1">
      <c r="A643" s="14"/>
    </row>
    <row r="644" spans="1:1">
      <c r="A644" s="14"/>
    </row>
    <row r="645" spans="1:1">
      <c r="A645" s="14"/>
    </row>
    <row r="646" spans="1:1">
      <c r="A646" s="14"/>
    </row>
    <row r="647" spans="1:1">
      <c r="A647" s="14"/>
    </row>
    <row r="648" spans="1:1">
      <c r="A648" s="14"/>
    </row>
    <row r="649" spans="1:1">
      <c r="A649" s="14"/>
    </row>
    <row r="650" spans="1:1">
      <c r="A650" s="14"/>
    </row>
    <row r="651" spans="1:1">
      <c r="A651" s="14"/>
    </row>
    <row r="652" spans="1:1">
      <c r="A652" s="14"/>
    </row>
    <row r="653" spans="1:1">
      <c r="A653" s="14"/>
    </row>
    <row r="654" spans="1:1">
      <c r="A654" s="14"/>
    </row>
    <row r="655" spans="1:1">
      <c r="A655" s="14"/>
    </row>
    <row r="656" spans="1:1">
      <c r="A656" s="14"/>
    </row>
    <row r="657" spans="1:1">
      <c r="A657" s="14"/>
    </row>
    <row r="658" spans="1:1">
      <c r="A658" s="14"/>
    </row>
    <row r="659" spans="1:1">
      <c r="A659" s="14"/>
    </row>
    <row r="660" spans="1:1">
      <c r="A660" s="14"/>
    </row>
    <row r="661" spans="1:1">
      <c r="A661" s="14"/>
    </row>
    <row r="662" spans="1:1">
      <c r="A662" s="14"/>
    </row>
    <row r="663" spans="1:1">
      <c r="A663" s="14"/>
    </row>
    <row r="664" spans="1:1">
      <c r="A664" s="14"/>
    </row>
    <row r="665" spans="1:1">
      <c r="A665" s="14"/>
    </row>
    <row r="666" spans="1:1">
      <c r="A666" s="14"/>
    </row>
    <row r="667" spans="1:1">
      <c r="A667" s="14"/>
    </row>
    <row r="668" spans="1:1">
      <c r="A668" s="14"/>
    </row>
    <row r="669" spans="1:1">
      <c r="A669" s="14"/>
    </row>
  </sheetData>
  <autoFilter ref="A1:K357" xr:uid="{EBF1ABF7-9F72-411C-93DB-1EA8FBB8D1E9}">
    <sortState xmlns:xlrd2="http://schemas.microsoft.com/office/spreadsheetml/2017/richdata2" ref="A109:K165">
      <sortCondition ref="G1:G35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LASA+Kealing Sites</vt:lpstr>
      <vt:lpstr>Awards</vt:lpstr>
      <vt:lpstr>LASA Site</vt:lpstr>
      <vt:lpstr>Kealing Site</vt:lpstr>
      <vt:lpstr>Reg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Torie Camp</dc:creator>
  <cp:lastModifiedBy>Jim DeLine</cp:lastModifiedBy>
  <dcterms:created xsi:type="dcterms:W3CDTF">2026-02-24T04:26:49Z</dcterms:created>
  <dcterms:modified xsi:type="dcterms:W3CDTF">2026-02-28T00:39:02Z</dcterms:modified>
</cp:coreProperties>
</file>