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eriprise-my.sharepoint.com/personal/erin_k_jenson_columbiathreadneedle_com/Documents/Erin/NBFA/"/>
    </mc:Choice>
  </mc:AlternateContent>
  <xr:revisionPtr revIDLastSave="0" documentId="14_{91E5A383-7B4F-4FC0-9641-FADFA1E7A77C}" xr6:coauthVersionLast="47" xr6:coauthVersionMax="47" xr10:uidLastSave="{00000000-0000-0000-0000-000000000000}"/>
  <bookViews>
    <workbookView xWindow="-120" yWindow="-120" windowWidth="29040" windowHeight="15720" xr2:uid="{DBE9C7AB-9080-4C7F-969A-58A62A13D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B54" i="1"/>
  <c r="B41" i="1"/>
  <c r="B33" i="1"/>
  <c r="C33" i="1" s="1"/>
  <c r="D33" i="1" s="1"/>
  <c r="B25" i="1"/>
  <c r="B27" i="1"/>
  <c r="C27" i="1" s="1"/>
  <c r="D27" i="1" s="1"/>
  <c r="B46" i="1"/>
  <c r="C46" i="1" s="1"/>
  <c r="D46" i="1" s="1"/>
  <c r="B52" i="1"/>
  <c r="C52" i="1" s="1"/>
  <c r="D52" i="1" s="1"/>
  <c r="B81" i="1"/>
  <c r="C81" i="1" s="1"/>
  <c r="D81" i="1" s="1"/>
  <c r="B86" i="1"/>
  <c r="B32" i="1"/>
  <c r="C32" i="1" s="1"/>
  <c r="D32" i="1" s="1"/>
  <c r="B16" i="1"/>
  <c r="C16" i="1" s="1"/>
  <c r="B14" i="1"/>
  <c r="C14" i="1" s="1"/>
  <c r="D14" i="1" s="1"/>
  <c r="B38" i="1"/>
  <c r="C38" i="1" s="1"/>
  <c r="D38" i="1" s="1"/>
  <c r="B49" i="1"/>
  <c r="C49" i="1" s="1"/>
  <c r="D49" i="1" s="1"/>
  <c r="B68" i="1"/>
  <c r="C68" i="1" s="1"/>
  <c r="D68" i="1" s="1"/>
  <c r="B72" i="1"/>
  <c r="C72" i="1" s="1"/>
  <c r="D72" i="1" s="1"/>
  <c r="B64" i="1"/>
  <c r="C64" i="1" s="1"/>
  <c r="D64" i="1" s="1"/>
  <c r="B28" i="1"/>
  <c r="C28" i="1" s="1"/>
  <c r="D28" i="1" s="1"/>
  <c r="B45" i="1"/>
  <c r="B73" i="1"/>
  <c r="B23" i="1"/>
  <c r="C23" i="1" s="1"/>
  <c r="D23" i="1" s="1"/>
  <c r="B71" i="1"/>
  <c r="C71" i="1" s="1"/>
  <c r="B30" i="1"/>
  <c r="B82" i="1"/>
  <c r="B37" i="1"/>
  <c r="B61" i="1"/>
  <c r="C61" i="1" s="1"/>
  <c r="D61" i="1" s="1"/>
  <c r="B42" i="1"/>
  <c r="C42" i="1" s="1"/>
  <c r="B44" i="1"/>
  <c r="C44" i="1" s="1"/>
  <c r="D44" i="1" s="1"/>
  <c r="B62" i="1"/>
  <c r="B47" i="1"/>
  <c r="C47" i="1" s="1"/>
  <c r="D47" i="1" s="1"/>
  <c r="B84" i="1"/>
  <c r="C84" i="1" s="1"/>
  <c r="B15" i="1"/>
  <c r="B31" i="1"/>
  <c r="B74" i="1"/>
  <c r="B10" i="1"/>
  <c r="C10" i="1" s="1"/>
  <c r="D10" i="1" s="1"/>
  <c r="C15" i="1"/>
  <c r="B57" i="1"/>
  <c r="C30" i="1"/>
  <c r="D30" i="1" s="1"/>
  <c r="B76" i="1"/>
  <c r="C25" i="1"/>
  <c r="D25" i="1" s="1"/>
  <c r="C83" i="1"/>
  <c r="D83" i="1" s="1"/>
  <c r="C37" i="1"/>
  <c r="D37" i="1" s="1"/>
  <c r="C73" i="1"/>
  <c r="D73" i="1" s="1"/>
  <c r="B58" i="1"/>
  <c r="C31" i="1"/>
  <c r="D31" i="1" s="1"/>
  <c r="C82" i="1"/>
  <c r="D82" i="1" s="1"/>
  <c r="C74" i="1"/>
  <c r="D74" i="1" s="1"/>
  <c r="D60" i="1"/>
  <c r="D20" i="1"/>
  <c r="C86" i="1"/>
  <c r="D86" i="1" s="1"/>
  <c r="B63" i="1"/>
  <c r="C63" i="1" s="1"/>
  <c r="D63" i="1" s="1"/>
  <c r="C41" i="1"/>
  <c r="D41" i="1" s="1"/>
  <c r="C85" i="1"/>
  <c r="D85" i="1" s="1"/>
  <c r="C87" i="1"/>
  <c r="C75" i="1"/>
  <c r="C77" i="1"/>
  <c r="C79" i="1"/>
  <c r="D79" i="1" s="1"/>
  <c r="C53" i="1"/>
  <c r="D53" i="1" s="1"/>
  <c r="C55" i="1"/>
  <c r="C56" i="1"/>
  <c r="C57" i="1"/>
  <c r="D57" i="1" s="1"/>
  <c r="C58" i="1"/>
  <c r="D58" i="1" s="1"/>
  <c r="C59" i="1"/>
  <c r="C60" i="1"/>
  <c r="C65" i="1"/>
  <c r="D65" i="1" s="1"/>
  <c r="C66" i="1"/>
  <c r="D66" i="1" s="1"/>
  <c r="C43" i="1"/>
  <c r="D43" i="1" s="1"/>
  <c r="C48" i="1"/>
  <c r="C50" i="1"/>
  <c r="D50" i="1" s="1"/>
  <c r="C36" i="1"/>
  <c r="D36" i="1" s="1"/>
  <c r="C39" i="1"/>
  <c r="D39" i="1" s="1"/>
  <c r="C24" i="1"/>
  <c r="D24" i="1" s="1"/>
  <c r="C29" i="1"/>
  <c r="C34" i="1"/>
  <c r="C18" i="1"/>
  <c r="D18" i="1" s="1"/>
  <c r="C19" i="1"/>
  <c r="C20" i="1"/>
  <c r="C13" i="1"/>
  <c r="D13" i="1" s="1"/>
  <c r="C11" i="1"/>
  <c r="C62" i="1"/>
  <c r="D62" i="1" s="1"/>
  <c r="B80" i="1"/>
  <c r="C80" i="1" s="1"/>
  <c r="D80" i="1" s="1"/>
  <c r="C54" i="1"/>
  <c r="D54" i="1" s="1"/>
  <c r="C45" i="1"/>
  <c r="D45" i="1" s="1"/>
  <c r="B26" i="1"/>
  <c r="C26" i="1" s="1"/>
  <c r="D26" i="1" s="1"/>
  <c r="B79" i="1"/>
  <c r="C76" i="1"/>
  <c r="D76" i="1" s="1"/>
</calcChain>
</file>

<file path=xl/sharedStrings.xml><?xml version="1.0" encoding="utf-8"?>
<sst xmlns="http://schemas.openxmlformats.org/spreadsheetml/2006/main" count="138" uniqueCount="103">
  <si>
    <t>Addison Vogland</t>
  </si>
  <si>
    <t>Avery Flandrick</t>
  </si>
  <si>
    <t>Aviana Carlson</t>
  </si>
  <si>
    <t>Hailey Anderson</t>
  </si>
  <si>
    <t>Izabelle Zabloski</t>
  </si>
  <si>
    <t>Lacy Wright</t>
  </si>
  <si>
    <t>Marley Schrepfer</t>
  </si>
  <si>
    <t>Paisley Oberg - Anderson</t>
  </si>
  <si>
    <t>Rahmonna Sword-Robelia</t>
  </si>
  <si>
    <t>Zoey Montague</t>
  </si>
  <si>
    <t>See Adele</t>
  </si>
  <si>
    <t>Gertens Sales Total</t>
  </si>
  <si>
    <t>Player</t>
  </si>
  <si>
    <t>Addison Wade</t>
  </si>
  <si>
    <t>Aria Berken</t>
  </si>
  <si>
    <t>Aubrey Wanless</t>
  </si>
  <si>
    <t>Carly Wilcox</t>
  </si>
  <si>
    <t>Elliana Pasqualini</t>
  </si>
  <si>
    <t>Greta Olson</t>
  </si>
  <si>
    <t>Katherine Inks</t>
  </si>
  <si>
    <t>Keeva Morin</t>
  </si>
  <si>
    <t>Raelynn Gullickson</t>
  </si>
  <si>
    <t>SkyLynn Green</t>
  </si>
  <si>
    <t>See Natalie</t>
  </si>
  <si>
    <t>See Lilith</t>
  </si>
  <si>
    <t>Adalyn Johnson</t>
  </si>
  <si>
    <t>Emma Johnson</t>
  </si>
  <si>
    <t>Jessica Johnson</t>
  </si>
  <si>
    <t>Kylie Erickson</t>
  </si>
  <si>
    <t>Natalie Berken</t>
  </si>
  <si>
    <t>See Adalyn</t>
  </si>
  <si>
    <t>See Madison</t>
  </si>
  <si>
    <t>Allison Fisk</t>
  </si>
  <si>
    <t>Hattie Koep</t>
  </si>
  <si>
    <t>Khloe Fairbanks</t>
  </si>
  <si>
    <t>Lexee Lacina</t>
  </si>
  <si>
    <t>Reilynn Carlson</t>
  </si>
  <si>
    <t>Ruby Deming</t>
  </si>
  <si>
    <t>See Reilynn</t>
  </si>
  <si>
    <t>See Bailee</t>
  </si>
  <si>
    <t>Bailey Peterson</t>
  </si>
  <si>
    <t>Brecken Dufour</t>
  </si>
  <si>
    <t>Brynn Jenson</t>
  </si>
  <si>
    <t>Chloe Schroeder</t>
  </si>
  <si>
    <t>Erin Flandrick</t>
  </si>
  <si>
    <t>Harlow Tolzman</t>
  </si>
  <si>
    <t>Kaisa Swenson</t>
  </si>
  <si>
    <t>Thalia Alarcon</t>
  </si>
  <si>
    <t>Vivienne Fairbanks</t>
  </si>
  <si>
    <t>Adele Williams</t>
  </si>
  <si>
    <t>Allison Anderson</t>
  </si>
  <si>
    <t>Jaiden Blesener</t>
  </si>
  <si>
    <t>Jaycee Silva-Ball</t>
  </si>
  <si>
    <t>Lucy Barber</t>
  </si>
  <si>
    <t>Mya Leland</t>
  </si>
  <si>
    <t>Adele Carlson</t>
  </si>
  <si>
    <t>Arrionna Sword</t>
  </si>
  <si>
    <t>Grace Wenzel</t>
  </si>
  <si>
    <t>Graclyn Castleberry</t>
  </si>
  <si>
    <t>Hailey Burnett</t>
  </si>
  <si>
    <t>Julia Troxell</t>
  </si>
  <si>
    <t>Lila Swanson</t>
  </si>
  <si>
    <t>McKenzie Falkowski</t>
  </si>
  <si>
    <t>Beatrice Palmblade</t>
  </si>
  <si>
    <t>Isabella Roesler</t>
  </si>
  <si>
    <t>Audrey Roy</t>
  </si>
  <si>
    <t>Bailee Eisenschenk</t>
  </si>
  <si>
    <t>Briley Beaver</t>
  </si>
  <si>
    <t xml:space="preserve">Charlotte Kolbow </t>
  </si>
  <si>
    <t>Elizabeth Allaman</t>
  </si>
  <si>
    <t>Ella Tuhy</t>
  </si>
  <si>
    <t>Gianna Groholski</t>
  </si>
  <si>
    <t>Hailee Honer</t>
  </si>
  <si>
    <t>Hailey Lombard</t>
  </si>
  <si>
    <t>Julieanne Mead</t>
  </si>
  <si>
    <t>Lauren Good</t>
  </si>
  <si>
    <t>Lilith Hoisington</t>
  </si>
  <si>
    <t>Lola Daubenspeck</t>
  </si>
  <si>
    <t>Lucy Brenneman</t>
  </si>
  <si>
    <t xml:space="preserve">Mackenah Carlson </t>
  </si>
  <si>
    <t>Madison Pell</t>
  </si>
  <si>
    <t>Maizie Eisenschenk</t>
  </si>
  <si>
    <t xml:space="preserve">Makenna Pell </t>
  </si>
  <si>
    <t>Quinn Kovarik</t>
  </si>
  <si>
    <t>Rowan Hagenbuch</t>
  </si>
  <si>
    <t>Scarlett Tacheny</t>
  </si>
  <si>
    <t>Serenity Nelson</t>
  </si>
  <si>
    <t>Registration Refund</t>
  </si>
  <si>
    <t>Total plant and gift card sales from all Gertens fundraisers (fall, winter, and spring).</t>
  </si>
  <si>
    <t>Fundraiser Earnings</t>
  </si>
  <si>
    <t>Gertens Sales Total =</t>
  </si>
  <si>
    <t>Fundraiser Earnings =</t>
  </si>
  <si>
    <t>Registration Refund =</t>
  </si>
  <si>
    <t>Green shading means player has reached max refund</t>
  </si>
  <si>
    <t>Peach shading means the family has multiple daughters in the program</t>
  </si>
  <si>
    <t>See Gracelynn</t>
  </si>
  <si>
    <t>See Gracelyn</t>
  </si>
  <si>
    <t>See Erin</t>
  </si>
  <si>
    <t>See Arriona</t>
  </si>
  <si>
    <t>The association receives 30% of all sales and keeps $90 per player (or $135 for families except 8U).</t>
  </si>
  <si>
    <t>Any earnings above $90 (or $135 for multiple players except 8U) will be refunded to the card on file in Crossbar in mid‑June, not to exceed the player’s registration amount.</t>
  </si>
  <si>
    <t>N/A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</si>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</sst>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0" borderId="2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4" borderId="7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4" borderId="2" xfId="0" applyFont="1" applyFill="1" applyBorder="1"/>
    <xf numFmtId="0" fontId="1" fillId="0" borderId="6" xfId="0" applyFont="1" applyBorder="1"/>
    <xf numFmtId="49" fontId="0" fillId="0" borderId="8" xfId="0" applyNumberFormat="1" applyBorder="1"/>
    <xf numFmtId="0" fontId="0" fillId="0" borderId="8" xfId="0" applyBorder="1"/>
    <xf numFmtId="0" fontId="0" fillId="0" borderId="9" xfId="0" applyBorder="1"/>
    <xf numFmtId="49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1" xfId="0" applyBorder="1" applyAlignment="1">
      <alignment vertical="center"/>
    </xf>
    <xf numFmtId="164" fontId="2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8" xfId="0" applyNumberFormat="1" applyBorder="1"/>
    <xf numFmtId="164" fontId="0" fillId="0" borderId="11" xfId="0" applyNumberFormat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1" fillId="0" borderId="19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39A3-C64A-48C6-B629-6671D4F89465}">
  <dimension ref="A1:K87"/>
  <sheetViews>
    <sheetView tabSelected="1" workbookViewId="0"/>
  </sheetViews>
  <sheetFormatPr defaultRowHeight="15" x14ac:dyDescent="0.25"/>
  <cols>
    <col min="1" max="1" width="23.42578125" bestFit="1" customWidth="1"/>
    <col min="2" max="2" width="19.7109375" bestFit="1" customWidth="1"/>
    <col min="3" max="3" width="20.28515625" bestFit="1" customWidth="1"/>
    <col min="4" max="4" width="20.140625" style="32" bestFit="1" customWidth="1"/>
    <col min="6" max="6" width="19.7109375" bestFit="1" customWidth="1"/>
    <col min="7" max="7" width="24.85546875" bestFit="1" customWidth="1"/>
    <col min="10" max="10" width="12" customWidth="1"/>
  </cols>
  <sheetData>
    <row r="1" spans="1:11" ht="15.75" thickBot="1" x14ac:dyDescent="0.3">
      <c r="A1" t="s">
        <v>102</v>
      </c>
    </row>
    <row r="2" spans="1:11" x14ac:dyDescent="0.25">
      <c r="A2" s="28" t="s">
        <v>90</v>
      </c>
      <c r="B2" s="19" t="s">
        <v>88</v>
      </c>
      <c r="C2" s="20"/>
      <c r="D2" s="33"/>
      <c r="E2" s="20"/>
      <c r="F2" s="20"/>
      <c r="G2" s="20"/>
      <c r="H2" s="20"/>
      <c r="I2" s="20"/>
      <c r="J2" s="20"/>
      <c r="K2" s="21"/>
    </row>
    <row r="3" spans="1:11" x14ac:dyDescent="0.25">
      <c r="A3" s="26" t="s">
        <v>91</v>
      </c>
      <c r="B3" s="22" t="s">
        <v>99</v>
      </c>
      <c r="K3" s="23"/>
    </row>
    <row r="4" spans="1:11" ht="15.75" thickBot="1" x14ac:dyDescent="0.3">
      <c r="A4" s="27" t="s">
        <v>92</v>
      </c>
      <c r="B4" s="29" t="s">
        <v>100</v>
      </c>
      <c r="C4" s="24"/>
      <c r="D4" s="34"/>
      <c r="E4" s="24"/>
      <c r="F4" s="24"/>
      <c r="G4" s="24"/>
      <c r="H4" s="24"/>
      <c r="I4" s="24"/>
      <c r="J4" s="24"/>
      <c r="K4" s="25"/>
    </row>
    <row r="5" spans="1:11" ht="15.75" thickBot="1" x14ac:dyDescent="0.3"/>
    <row r="6" spans="1:11" s="38" customFormat="1" ht="15.75" thickBot="1" x14ac:dyDescent="0.3">
      <c r="A6" s="42" t="s">
        <v>93</v>
      </c>
      <c r="B6" s="43"/>
      <c r="C6" s="44"/>
      <c r="D6" s="37"/>
    </row>
    <row r="7" spans="1:11" s="38" customFormat="1" ht="15.75" thickBot="1" x14ac:dyDescent="0.3">
      <c r="A7" s="39" t="s">
        <v>94</v>
      </c>
      <c r="B7" s="40"/>
      <c r="C7" s="41"/>
      <c r="D7" s="37"/>
    </row>
    <row r="9" spans="1:11" x14ac:dyDescent="0.25">
      <c r="A9" s="5" t="s">
        <v>12</v>
      </c>
      <c r="B9" s="4" t="s">
        <v>11</v>
      </c>
      <c r="C9" s="4" t="s">
        <v>89</v>
      </c>
      <c r="D9" s="30" t="s">
        <v>87</v>
      </c>
    </row>
    <row r="10" spans="1:11" x14ac:dyDescent="0.25">
      <c r="A10" s="15" t="s">
        <v>25</v>
      </c>
      <c r="B10" s="3">
        <f>860.3+46.5+156.7+154+85</f>
        <v>1302.5</v>
      </c>
      <c r="C10" s="3">
        <f>IF(B10="", "", B10 * 0.3)</f>
        <v>390.75</v>
      </c>
      <c r="D10" s="31">
        <f>IF(C10="","",IF(C10-135&lt;0,"",C10-135))</f>
        <v>255.75</v>
      </c>
    </row>
    <row r="11" spans="1:11" x14ac:dyDescent="0.25">
      <c r="A11" s="1" t="s">
        <v>0</v>
      </c>
      <c r="B11" s="2"/>
      <c r="C11" s="2" t="str">
        <f>IF(B11="", "", B11 * 0.3)</f>
        <v/>
      </c>
      <c r="D11" s="2" t="s">
        <v>101</v>
      </c>
    </row>
    <row r="12" spans="1:11" x14ac:dyDescent="0.25">
      <c r="A12" s="1" t="s">
        <v>13</v>
      </c>
      <c r="B12" s="3" t="s">
        <v>95</v>
      </c>
      <c r="C12" s="3" t="s">
        <v>96</v>
      </c>
      <c r="D12" s="3" t="s">
        <v>101</v>
      </c>
    </row>
    <row r="13" spans="1:11" x14ac:dyDescent="0.25">
      <c r="A13" s="1" t="s">
        <v>55</v>
      </c>
      <c r="B13" s="3"/>
      <c r="C13" s="3" t="str">
        <f>IF(B13="", "", B13 * 0.3)</f>
        <v/>
      </c>
      <c r="D13" s="31" t="str">
        <f>IF(C13="","",IF(C13-90&lt;0,"",C13-90))</f>
        <v/>
      </c>
    </row>
    <row r="14" spans="1:11" x14ac:dyDescent="0.25">
      <c r="A14" s="15" t="s">
        <v>49</v>
      </c>
      <c r="B14" s="2">
        <f>168.5+135+265</f>
        <v>568.5</v>
      </c>
      <c r="C14" s="2">
        <f t="shared" ref="C14:C76" si="0">IF(B14="", "", B14 * 0.3)</f>
        <v>170.54999999999998</v>
      </c>
      <c r="D14" s="35">
        <f>IF(C14="","",IF(C14-90&lt;0,"",C14-90))</f>
        <v>80.549999999999983</v>
      </c>
    </row>
    <row r="15" spans="1:11" x14ac:dyDescent="0.25">
      <c r="A15" s="15" t="s">
        <v>50</v>
      </c>
      <c r="B15" s="2">
        <f>1396.6+287.8+119.2+314+118</f>
        <v>2235.6</v>
      </c>
      <c r="C15" s="2">
        <f t="shared" si="0"/>
        <v>670.68</v>
      </c>
      <c r="D15" s="36">
        <v>450</v>
      </c>
    </row>
    <row r="16" spans="1:11" x14ac:dyDescent="0.25">
      <c r="A16" s="16" t="s">
        <v>32</v>
      </c>
      <c r="B16" s="9">
        <f>1887.7+824.7+238.7+133+188</f>
        <v>3272.1</v>
      </c>
      <c r="C16" s="2">
        <f t="shared" si="0"/>
        <v>981.62999999999988</v>
      </c>
      <c r="D16" s="36">
        <v>450</v>
      </c>
    </row>
    <row r="17" spans="1:4" x14ac:dyDescent="0.25">
      <c r="A17" s="1" t="s">
        <v>14</v>
      </c>
      <c r="B17" s="3" t="s">
        <v>23</v>
      </c>
      <c r="C17" s="3" t="s">
        <v>23</v>
      </c>
      <c r="D17" s="3" t="s">
        <v>101</v>
      </c>
    </row>
    <row r="18" spans="1:4" x14ac:dyDescent="0.25">
      <c r="A18" s="1" t="s">
        <v>56</v>
      </c>
      <c r="B18" s="3"/>
      <c r="C18" s="3" t="str">
        <f t="shared" si="0"/>
        <v/>
      </c>
      <c r="D18" s="31" t="str">
        <f>IF(C18="","",IF(C18-90&lt;0,"",C18-90))</f>
        <v/>
      </c>
    </row>
    <row r="19" spans="1:4" x14ac:dyDescent="0.25">
      <c r="A19" s="1" t="s">
        <v>15</v>
      </c>
      <c r="B19" s="2"/>
      <c r="C19" s="2" t="str">
        <f t="shared" si="0"/>
        <v/>
      </c>
      <c r="D19" s="2" t="s">
        <v>101</v>
      </c>
    </row>
    <row r="20" spans="1:4" x14ac:dyDescent="0.25">
      <c r="A20" s="17" t="s">
        <v>65</v>
      </c>
      <c r="B20" s="9"/>
      <c r="C20" s="2" t="str">
        <f t="shared" si="0"/>
        <v/>
      </c>
      <c r="D20" s="35" t="str">
        <f t="shared" ref="D20" si="1">IF(C20="","",IF(C20-90&lt;0,"",C20-90))</f>
        <v/>
      </c>
    </row>
    <row r="21" spans="1:4" x14ac:dyDescent="0.25">
      <c r="A21" s="6" t="s">
        <v>1</v>
      </c>
      <c r="B21" s="3" t="s">
        <v>97</v>
      </c>
      <c r="C21" s="3" t="s">
        <v>97</v>
      </c>
      <c r="D21" s="3" t="s">
        <v>101</v>
      </c>
    </row>
    <row r="22" spans="1:4" x14ac:dyDescent="0.25">
      <c r="A22" s="6" t="s">
        <v>2</v>
      </c>
      <c r="B22" s="3" t="s">
        <v>10</v>
      </c>
      <c r="C22" s="3" t="s">
        <v>10</v>
      </c>
      <c r="D22" s="3" t="s">
        <v>101</v>
      </c>
    </row>
    <row r="23" spans="1:4" x14ac:dyDescent="0.25">
      <c r="A23" s="6" t="s">
        <v>66</v>
      </c>
      <c r="B23" s="3">
        <f>106+253.7+85</f>
        <v>444.7</v>
      </c>
      <c r="C23" s="3">
        <f t="shared" si="0"/>
        <v>133.41</v>
      </c>
      <c r="D23" s="31" t="str">
        <f>IF(C23="","",IF(C23-135&lt;0,"",C23-135))</f>
        <v/>
      </c>
    </row>
    <row r="24" spans="1:4" x14ac:dyDescent="0.25">
      <c r="A24" s="6" t="s">
        <v>40</v>
      </c>
      <c r="B24" s="9"/>
      <c r="C24" s="2" t="str">
        <f t="shared" si="0"/>
        <v/>
      </c>
      <c r="D24" s="35" t="str">
        <f t="shared" ref="D24:D33" si="2">IF(C24="","",IF(C24-90&lt;0,"",C24-90))</f>
        <v/>
      </c>
    </row>
    <row r="25" spans="1:4" x14ac:dyDescent="0.25">
      <c r="A25" s="6" t="s">
        <v>63</v>
      </c>
      <c r="B25" s="2">
        <f>132+59.9+59</f>
        <v>250.9</v>
      </c>
      <c r="C25" s="2">
        <f t="shared" si="0"/>
        <v>75.27</v>
      </c>
      <c r="D25" s="35" t="str">
        <f t="shared" si="2"/>
        <v/>
      </c>
    </row>
    <row r="26" spans="1:4" x14ac:dyDescent="0.25">
      <c r="A26" s="6" t="s">
        <v>41</v>
      </c>
      <c r="B26" s="9">
        <f>150</f>
        <v>150</v>
      </c>
      <c r="C26" s="2">
        <f t="shared" si="0"/>
        <v>45</v>
      </c>
      <c r="D26" s="35" t="str">
        <f t="shared" si="2"/>
        <v/>
      </c>
    </row>
    <row r="27" spans="1:4" x14ac:dyDescent="0.25">
      <c r="A27" s="6" t="s">
        <v>67</v>
      </c>
      <c r="B27" s="2">
        <f>220+122.3</f>
        <v>342.3</v>
      </c>
      <c r="C27" s="2">
        <f t="shared" si="0"/>
        <v>102.69</v>
      </c>
      <c r="D27" s="35">
        <f t="shared" si="2"/>
        <v>12.689999999999998</v>
      </c>
    </row>
    <row r="28" spans="1:4" x14ac:dyDescent="0.25">
      <c r="A28" s="6" t="s">
        <v>42</v>
      </c>
      <c r="B28" s="9">
        <f>50+91.9+492.3+80</f>
        <v>714.2</v>
      </c>
      <c r="C28" s="2">
        <f t="shared" si="0"/>
        <v>214.26000000000002</v>
      </c>
      <c r="D28" s="35">
        <f t="shared" si="2"/>
        <v>124.26000000000002</v>
      </c>
    </row>
    <row r="29" spans="1:4" x14ac:dyDescent="0.25">
      <c r="A29" s="45" t="s">
        <v>16</v>
      </c>
      <c r="B29" s="2"/>
      <c r="C29" s="2" t="str">
        <f t="shared" si="0"/>
        <v/>
      </c>
      <c r="D29" s="2" t="s">
        <v>101</v>
      </c>
    </row>
    <row r="30" spans="1:4" x14ac:dyDescent="0.25">
      <c r="A30" s="7" t="s">
        <v>68</v>
      </c>
      <c r="B30" s="9">
        <f>149+52.23+38.6+24</f>
        <v>263.83</v>
      </c>
      <c r="C30" s="46">
        <f t="shared" si="0"/>
        <v>79.148999999999987</v>
      </c>
      <c r="D30" s="35" t="str">
        <f t="shared" si="2"/>
        <v/>
      </c>
    </row>
    <row r="31" spans="1:4" x14ac:dyDescent="0.25">
      <c r="A31" s="11" t="s">
        <v>43</v>
      </c>
      <c r="B31" s="9">
        <f>321.6+146+52.23+134+20</f>
        <v>673.83</v>
      </c>
      <c r="C31" s="46">
        <f t="shared" si="0"/>
        <v>202.149</v>
      </c>
      <c r="D31" s="35">
        <f t="shared" si="2"/>
        <v>112.149</v>
      </c>
    </row>
    <row r="32" spans="1:4" x14ac:dyDescent="0.25">
      <c r="A32" s="12" t="s">
        <v>69</v>
      </c>
      <c r="B32" s="2">
        <f>279.1+253</f>
        <v>532.1</v>
      </c>
      <c r="C32" s="2">
        <f t="shared" si="0"/>
        <v>159.63</v>
      </c>
      <c r="D32" s="35">
        <f t="shared" si="2"/>
        <v>69.63</v>
      </c>
    </row>
    <row r="33" spans="1:4" x14ac:dyDescent="0.25">
      <c r="A33" s="12" t="s">
        <v>70</v>
      </c>
      <c r="B33" s="2">
        <f>320+134.8+25+488</f>
        <v>967.8</v>
      </c>
      <c r="C33" s="2">
        <f t="shared" si="0"/>
        <v>290.33999999999997</v>
      </c>
      <c r="D33" s="35">
        <f t="shared" si="2"/>
        <v>200.33999999999997</v>
      </c>
    </row>
    <row r="34" spans="1:4" x14ac:dyDescent="0.25">
      <c r="A34" s="11" t="s">
        <v>17</v>
      </c>
      <c r="B34" s="2"/>
      <c r="C34" s="2" t="str">
        <f t="shared" si="0"/>
        <v/>
      </c>
      <c r="D34" s="2" t="s">
        <v>101</v>
      </c>
    </row>
    <row r="35" spans="1:4" x14ac:dyDescent="0.25">
      <c r="A35" s="8" t="s">
        <v>26</v>
      </c>
      <c r="B35" s="3" t="s">
        <v>30</v>
      </c>
      <c r="C35" s="3" t="s">
        <v>30</v>
      </c>
      <c r="D35" s="3" t="s">
        <v>30</v>
      </c>
    </row>
    <row r="36" spans="1:4" x14ac:dyDescent="0.25">
      <c r="A36" s="11" t="s">
        <v>44</v>
      </c>
      <c r="B36" s="3"/>
      <c r="C36" s="3" t="str">
        <f t="shared" si="0"/>
        <v/>
      </c>
      <c r="D36" s="31" t="str">
        <f>IF(C36="","",IF(C36-90&lt;0,"",C36-90))</f>
        <v/>
      </c>
    </row>
    <row r="37" spans="1:4" x14ac:dyDescent="0.25">
      <c r="A37" s="8" t="s">
        <v>71</v>
      </c>
      <c r="B37" s="9">
        <f>75.7+132+100</f>
        <v>307.7</v>
      </c>
      <c r="C37" s="2">
        <f t="shared" si="0"/>
        <v>92.309999999999988</v>
      </c>
      <c r="D37" s="35">
        <f t="shared" ref="D37:D38" si="3">IF(C37="","",IF(C37-90&lt;0,"",C37-90))</f>
        <v>2.3099999999999881</v>
      </c>
    </row>
    <row r="38" spans="1:4" x14ac:dyDescent="0.25">
      <c r="A38" s="11" t="s">
        <v>57</v>
      </c>
      <c r="B38" s="2">
        <f>67.5+47.9</f>
        <v>115.4</v>
      </c>
      <c r="C38" s="2">
        <f t="shared" si="0"/>
        <v>34.619999999999997</v>
      </c>
      <c r="D38" s="35" t="str">
        <f t="shared" si="3"/>
        <v/>
      </c>
    </row>
    <row r="39" spans="1:4" x14ac:dyDescent="0.25">
      <c r="A39" s="12" t="s">
        <v>58</v>
      </c>
      <c r="B39" s="3"/>
      <c r="C39" s="3" t="str">
        <f t="shared" si="0"/>
        <v/>
      </c>
      <c r="D39" s="31" t="str">
        <f>IF(C39="","",IF(C39-90&lt;0,"",C39-90))</f>
        <v/>
      </c>
    </row>
    <row r="40" spans="1:4" x14ac:dyDescent="0.25">
      <c r="A40" s="10" t="s">
        <v>18</v>
      </c>
      <c r="B40" s="3" t="s">
        <v>24</v>
      </c>
      <c r="C40" s="3" t="s">
        <v>24</v>
      </c>
      <c r="D40" s="3" t="s">
        <v>101</v>
      </c>
    </row>
    <row r="41" spans="1:4" x14ac:dyDescent="0.25">
      <c r="A41" s="12" t="s">
        <v>72</v>
      </c>
      <c r="B41" s="9">
        <f>567+48.8</f>
        <v>615.79999999999995</v>
      </c>
      <c r="C41" s="2">
        <f t="shared" si="0"/>
        <v>184.73999999999998</v>
      </c>
      <c r="D41" s="35">
        <f>IF(C41="","",IF(C41-90&lt;0,"",C41-90))</f>
        <v>94.739999999999981</v>
      </c>
    </row>
    <row r="42" spans="1:4" x14ac:dyDescent="0.25">
      <c r="A42" s="11" t="s">
        <v>3</v>
      </c>
      <c r="B42" s="2">
        <f>211.2+326.2+520</f>
        <v>1057.4000000000001</v>
      </c>
      <c r="C42" s="2">
        <f t="shared" si="0"/>
        <v>317.22000000000003</v>
      </c>
      <c r="D42" s="2" t="s">
        <v>101</v>
      </c>
    </row>
    <row r="43" spans="1:4" x14ac:dyDescent="0.25">
      <c r="A43" s="11" t="s">
        <v>59</v>
      </c>
      <c r="B43" s="2"/>
      <c r="C43" s="2" t="str">
        <f t="shared" si="0"/>
        <v/>
      </c>
      <c r="D43" s="35" t="str">
        <f t="shared" ref="D43:D50" si="4">IF(C43="","",IF(C43-90&lt;0,"",C43-90))</f>
        <v/>
      </c>
    </row>
    <row r="44" spans="1:4" x14ac:dyDescent="0.25">
      <c r="A44" s="8" t="s">
        <v>73</v>
      </c>
      <c r="B44" s="9">
        <f>375+124+130.9</f>
        <v>629.9</v>
      </c>
      <c r="C44" s="2">
        <f t="shared" si="0"/>
        <v>188.97</v>
      </c>
      <c r="D44" s="35">
        <f t="shared" si="4"/>
        <v>98.97</v>
      </c>
    </row>
    <row r="45" spans="1:4" x14ac:dyDescent="0.25">
      <c r="A45" s="11" t="s">
        <v>45</v>
      </c>
      <c r="B45" s="2">
        <f>304.8+227</f>
        <v>531.79999999999995</v>
      </c>
      <c r="C45" s="2">
        <f t="shared" si="0"/>
        <v>159.54</v>
      </c>
      <c r="D45" s="35">
        <f t="shared" si="4"/>
        <v>69.539999999999992</v>
      </c>
    </row>
    <row r="46" spans="1:4" x14ac:dyDescent="0.25">
      <c r="A46" s="8" t="s">
        <v>33</v>
      </c>
      <c r="B46" s="9">
        <f>114.9+94</f>
        <v>208.9</v>
      </c>
      <c r="C46" s="2">
        <f t="shared" si="0"/>
        <v>62.67</v>
      </c>
      <c r="D46" s="35" t="str">
        <f t="shared" si="4"/>
        <v/>
      </c>
    </row>
    <row r="47" spans="1:4" x14ac:dyDescent="0.25">
      <c r="A47" s="11" t="s">
        <v>64</v>
      </c>
      <c r="B47" s="2">
        <f>249.3</f>
        <v>249.3</v>
      </c>
      <c r="C47" s="2">
        <f t="shared" si="0"/>
        <v>74.790000000000006</v>
      </c>
      <c r="D47" s="35" t="str">
        <f t="shared" si="4"/>
        <v/>
      </c>
    </row>
    <row r="48" spans="1:4" x14ac:dyDescent="0.25">
      <c r="A48" s="11" t="s">
        <v>4</v>
      </c>
      <c r="B48" s="2"/>
      <c r="C48" s="2" t="str">
        <f t="shared" si="0"/>
        <v/>
      </c>
      <c r="D48" s="2" t="s">
        <v>101</v>
      </c>
    </row>
    <row r="49" spans="1:4" x14ac:dyDescent="0.25">
      <c r="A49" s="11" t="s">
        <v>51</v>
      </c>
      <c r="B49" s="2">
        <f>32+64+96+188.3</f>
        <v>380.3</v>
      </c>
      <c r="C49" s="2">
        <f t="shared" si="0"/>
        <v>114.09</v>
      </c>
      <c r="D49" s="35">
        <f t="shared" si="4"/>
        <v>24.090000000000003</v>
      </c>
    </row>
    <row r="50" spans="1:4" x14ac:dyDescent="0.25">
      <c r="A50" s="11" t="s">
        <v>52</v>
      </c>
      <c r="B50" s="2"/>
      <c r="C50" s="2" t="str">
        <f t="shared" si="0"/>
        <v/>
      </c>
      <c r="D50" s="35" t="str">
        <f t="shared" si="4"/>
        <v/>
      </c>
    </row>
    <row r="51" spans="1:4" x14ac:dyDescent="0.25">
      <c r="A51" s="8" t="s">
        <v>27</v>
      </c>
      <c r="B51" s="3" t="s">
        <v>30</v>
      </c>
      <c r="C51" s="3" t="s">
        <v>30</v>
      </c>
      <c r="D51" s="3" t="s">
        <v>30</v>
      </c>
    </row>
    <row r="52" spans="1:4" x14ac:dyDescent="0.25">
      <c r="A52" s="7" t="s">
        <v>60</v>
      </c>
      <c r="B52" s="2">
        <f>158+21</f>
        <v>179</v>
      </c>
      <c r="C52" s="2">
        <f t="shared" si="0"/>
        <v>53.699999999999996</v>
      </c>
      <c r="D52" s="35" t="str">
        <f t="shared" ref="D52:D62" si="5">IF(C52="","",IF(C52-90&lt;0,"",C52-90))</f>
        <v/>
      </c>
    </row>
    <row r="53" spans="1:4" x14ac:dyDescent="0.25">
      <c r="A53" s="11" t="s">
        <v>74</v>
      </c>
      <c r="B53" s="2"/>
      <c r="C53" s="2" t="str">
        <f t="shared" si="0"/>
        <v/>
      </c>
      <c r="D53" s="35" t="str">
        <f t="shared" si="5"/>
        <v/>
      </c>
    </row>
    <row r="54" spans="1:4" x14ac:dyDescent="0.25">
      <c r="A54" s="11" t="s">
        <v>46</v>
      </c>
      <c r="B54" s="2">
        <f>637.8+129+221+84+135.2+42</f>
        <v>1249</v>
      </c>
      <c r="C54" s="2">
        <f t="shared" si="0"/>
        <v>374.7</v>
      </c>
      <c r="D54" s="35">
        <f t="shared" si="5"/>
        <v>284.7</v>
      </c>
    </row>
    <row r="55" spans="1:4" x14ac:dyDescent="0.25">
      <c r="A55" s="11" t="s">
        <v>19</v>
      </c>
      <c r="B55" s="2"/>
      <c r="C55" s="2" t="str">
        <f t="shared" si="0"/>
        <v/>
      </c>
      <c r="D55" s="2" t="s">
        <v>101</v>
      </c>
    </row>
    <row r="56" spans="1:4" x14ac:dyDescent="0.25">
      <c r="A56" s="11" t="s">
        <v>20</v>
      </c>
      <c r="B56" s="2"/>
      <c r="C56" s="2" t="str">
        <f t="shared" si="0"/>
        <v/>
      </c>
      <c r="D56" s="2" t="s">
        <v>101</v>
      </c>
    </row>
    <row r="57" spans="1:4" x14ac:dyDescent="0.25">
      <c r="A57" s="8" t="s">
        <v>34</v>
      </c>
      <c r="B57" s="9">
        <f>361.8+302+123</f>
        <v>786.8</v>
      </c>
      <c r="C57" s="2">
        <f t="shared" si="0"/>
        <v>236.03999999999996</v>
      </c>
      <c r="D57" s="35">
        <f t="shared" si="5"/>
        <v>146.03999999999996</v>
      </c>
    </row>
    <row r="58" spans="1:4" x14ac:dyDescent="0.25">
      <c r="A58" s="8" t="s">
        <v>28</v>
      </c>
      <c r="B58" s="9">
        <f>85.5</f>
        <v>85.5</v>
      </c>
      <c r="C58" s="2">
        <f t="shared" si="0"/>
        <v>25.65</v>
      </c>
      <c r="D58" s="35" t="str">
        <f t="shared" si="5"/>
        <v/>
      </c>
    </row>
    <row r="59" spans="1:4" x14ac:dyDescent="0.25">
      <c r="A59" s="11" t="s">
        <v>5</v>
      </c>
      <c r="B59" s="2"/>
      <c r="C59" s="2" t="str">
        <f t="shared" si="0"/>
        <v/>
      </c>
      <c r="D59" s="2" t="s">
        <v>101</v>
      </c>
    </row>
    <row r="60" spans="1:4" x14ac:dyDescent="0.25">
      <c r="A60" s="8" t="s">
        <v>75</v>
      </c>
      <c r="B60" s="9"/>
      <c r="C60" s="2" t="str">
        <f t="shared" si="0"/>
        <v/>
      </c>
      <c r="D60" s="35" t="str">
        <f t="shared" si="5"/>
        <v/>
      </c>
    </row>
    <row r="61" spans="1:4" x14ac:dyDescent="0.25">
      <c r="A61" s="8" t="s">
        <v>35</v>
      </c>
      <c r="B61" s="9">
        <f>762.8+163+123</f>
        <v>1048.8</v>
      </c>
      <c r="C61" s="2">
        <f t="shared" si="0"/>
        <v>314.64</v>
      </c>
      <c r="D61" s="35">
        <f t="shared" si="5"/>
        <v>224.64</v>
      </c>
    </row>
    <row r="62" spans="1:4" x14ac:dyDescent="0.25">
      <c r="A62" s="8" t="s">
        <v>61</v>
      </c>
      <c r="B62" s="2">
        <f>85.8+59.6+64</f>
        <v>209.4</v>
      </c>
      <c r="C62" s="2">
        <f t="shared" si="0"/>
        <v>62.82</v>
      </c>
      <c r="D62" s="35" t="str">
        <f t="shared" si="5"/>
        <v/>
      </c>
    </row>
    <row r="63" spans="1:4" x14ac:dyDescent="0.25">
      <c r="A63" s="13" t="s">
        <v>76</v>
      </c>
      <c r="B63" s="3">
        <f>381.8</f>
        <v>381.8</v>
      </c>
      <c r="C63" s="3">
        <f t="shared" si="0"/>
        <v>114.54</v>
      </c>
      <c r="D63" s="31">
        <f>IF(C63="","",IF(C63-90&lt;0,"",C63-90))</f>
        <v>24.540000000000006</v>
      </c>
    </row>
    <row r="64" spans="1:4" x14ac:dyDescent="0.25">
      <c r="A64" s="8" t="s">
        <v>77</v>
      </c>
      <c r="B64" s="9">
        <f>101+63+235.5</f>
        <v>399.5</v>
      </c>
      <c r="C64" s="2">
        <f t="shared" si="0"/>
        <v>119.85</v>
      </c>
      <c r="D64" s="35">
        <f t="shared" ref="D64:D66" si="6">IF(C64="","",IF(C64-90&lt;0,"",C64-90))</f>
        <v>29.849999999999994</v>
      </c>
    </row>
    <row r="65" spans="1:4" x14ac:dyDescent="0.25">
      <c r="A65" s="11" t="s">
        <v>53</v>
      </c>
      <c r="B65" s="2"/>
      <c r="C65" s="2" t="str">
        <f t="shared" si="0"/>
        <v/>
      </c>
      <c r="D65" s="35" t="str">
        <f t="shared" si="6"/>
        <v/>
      </c>
    </row>
    <row r="66" spans="1:4" x14ac:dyDescent="0.25">
      <c r="A66" s="8" t="s">
        <v>78</v>
      </c>
      <c r="B66" s="9"/>
      <c r="C66" s="2" t="str">
        <f t="shared" si="0"/>
        <v/>
      </c>
      <c r="D66" s="35" t="str">
        <f t="shared" si="6"/>
        <v/>
      </c>
    </row>
    <row r="67" spans="1:4" x14ac:dyDescent="0.25">
      <c r="A67" s="8" t="s">
        <v>79</v>
      </c>
      <c r="B67" s="3" t="s">
        <v>38</v>
      </c>
      <c r="C67" s="3" t="s">
        <v>38</v>
      </c>
      <c r="D67" s="3" t="s">
        <v>38</v>
      </c>
    </row>
    <row r="68" spans="1:4" x14ac:dyDescent="0.25">
      <c r="A68" s="18" t="s">
        <v>80</v>
      </c>
      <c r="B68" s="3">
        <f>193.5+130.1+84.5+231.8+176</f>
        <v>815.90000000000009</v>
      </c>
      <c r="C68" s="3">
        <f t="shared" si="0"/>
        <v>244.77</v>
      </c>
      <c r="D68" s="31">
        <f>IF(C68="","",IF(C68-135&lt;0,"",C68-135))</f>
        <v>109.77000000000001</v>
      </c>
    </row>
    <row r="69" spans="1:4" x14ac:dyDescent="0.25">
      <c r="A69" s="14" t="s">
        <v>81</v>
      </c>
      <c r="B69" s="3" t="s">
        <v>39</v>
      </c>
      <c r="C69" s="3" t="s">
        <v>39</v>
      </c>
      <c r="D69" s="3" t="s">
        <v>39</v>
      </c>
    </row>
    <row r="70" spans="1:4" x14ac:dyDescent="0.25">
      <c r="A70" s="14" t="s">
        <v>82</v>
      </c>
      <c r="B70" s="3" t="s">
        <v>31</v>
      </c>
      <c r="C70" s="3" t="s">
        <v>31</v>
      </c>
      <c r="D70" s="3" t="s">
        <v>31</v>
      </c>
    </row>
    <row r="71" spans="1:4" x14ac:dyDescent="0.25">
      <c r="A71" s="11" t="s">
        <v>6</v>
      </c>
      <c r="B71" s="2">
        <f>38.7+47.7</f>
        <v>86.4</v>
      </c>
      <c r="C71" s="2">
        <f t="shared" si="0"/>
        <v>25.92</v>
      </c>
      <c r="D71" s="2" t="s">
        <v>101</v>
      </c>
    </row>
    <row r="72" spans="1:4" x14ac:dyDescent="0.25">
      <c r="A72" s="12" t="s">
        <v>62</v>
      </c>
      <c r="B72" s="2">
        <f>98.5+67+631.6</f>
        <v>797.1</v>
      </c>
      <c r="C72" s="2">
        <f t="shared" si="0"/>
        <v>239.13</v>
      </c>
      <c r="D72" s="35">
        <f t="shared" ref="D72:D73" si="7">IF(C72="","",IF(C72-90&lt;0,"",C72-90))</f>
        <v>149.13</v>
      </c>
    </row>
    <row r="73" spans="1:4" x14ac:dyDescent="0.25">
      <c r="A73" s="13" t="s">
        <v>54</v>
      </c>
      <c r="B73" s="2">
        <f>1021.6+96+214+172.8+47</f>
        <v>1551.3999999999999</v>
      </c>
      <c r="C73" s="2">
        <f t="shared" si="0"/>
        <v>465.41999999999996</v>
      </c>
      <c r="D73" s="35">
        <f t="shared" si="7"/>
        <v>375.41999999999996</v>
      </c>
    </row>
    <row r="74" spans="1:4" x14ac:dyDescent="0.25">
      <c r="A74" s="8" t="s">
        <v>29</v>
      </c>
      <c r="B74" s="3">
        <f>202+272+72+292.8</f>
        <v>838.8</v>
      </c>
      <c r="C74" s="3">
        <f t="shared" si="0"/>
        <v>251.64</v>
      </c>
      <c r="D74" s="31">
        <f>IF(C74="","",IF(C74-90&lt;0,"",C74-90))</f>
        <v>161.63999999999999</v>
      </c>
    </row>
    <row r="75" spans="1:4" x14ac:dyDescent="0.25">
      <c r="A75" s="11" t="s">
        <v>7</v>
      </c>
      <c r="B75" s="2"/>
      <c r="C75" s="2" t="str">
        <f t="shared" si="0"/>
        <v/>
      </c>
      <c r="D75" s="2" t="s">
        <v>101</v>
      </c>
    </row>
    <row r="76" spans="1:4" x14ac:dyDescent="0.25">
      <c r="A76" s="8" t="s">
        <v>83</v>
      </c>
      <c r="B76" s="9">
        <f>230+476.7</f>
        <v>706.7</v>
      </c>
      <c r="C76" s="2">
        <f t="shared" si="0"/>
        <v>212.01000000000002</v>
      </c>
      <c r="D76" s="35">
        <f t="shared" ref="D76" si="8">IF(C76="","",IF(C76-90&lt;0,"",C76-90))</f>
        <v>122.01000000000002</v>
      </c>
    </row>
    <row r="77" spans="1:4" x14ac:dyDescent="0.25">
      <c r="A77" s="11" t="s">
        <v>21</v>
      </c>
      <c r="B77" s="2"/>
      <c r="C77" s="2" t="str">
        <f t="shared" ref="C77:C87" si="9">IF(B77="", "", B77 * 0.3)</f>
        <v/>
      </c>
      <c r="D77" s="2" t="s">
        <v>101</v>
      </c>
    </row>
    <row r="78" spans="1:4" x14ac:dyDescent="0.25">
      <c r="A78" s="11" t="s">
        <v>8</v>
      </c>
      <c r="B78" s="3" t="s">
        <v>98</v>
      </c>
      <c r="C78" s="31" t="s">
        <v>98</v>
      </c>
      <c r="D78" s="3" t="s">
        <v>101</v>
      </c>
    </row>
    <row r="79" spans="1:4" x14ac:dyDescent="0.25">
      <c r="A79" s="8" t="s">
        <v>36</v>
      </c>
      <c r="B79" s="3">
        <f>216+50</f>
        <v>266</v>
      </c>
      <c r="C79" s="3">
        <f t="shared" si="9"/>
        <v>79.8</v>
      </c>
      <c r="D79" s="31" t="str">
        <f>IF(C79="","",IF(C79-135&lt;0,"",C79-135))</f>
        <v/>
      </c>
    </row>
    <row r="80" spans="1:4" x14ac:dyDescent="0.25">
      <c r="A80" s="18" t="s">
        <v>84</v>
      </c>
      <c r="B80" s="2">
        <f>157.4</f>
        <v>157.4</v>
      </c>
      <c r="C80" s="2">
        <f t="shared" si="9"/>
        <v>47.22</v>
      </c>
      <c r="D80" s="35" t="str">
        <f t="shared" ref="D80:D86" si="10">IF(C80="","",IF(C80-90&lt;0,"",C80-90))</f>
        <v/>
      </c>
    </row>
    <row r="81" spans="1:4" x14ac:dyDescent="0.25">
      <c r="A81" s="14" t="s">
        <v>37</v>
      </c>
      <c r="B81" s="9">
        <f>165.6+160</f>
        <v>325.60000000000002</v>
      </c>
      <c r="C81" s="2">
        <f t="shared" si="9"/>
        <v>97.68</v>
      </c>
      <c r="D81" s="35">
        <f t="shared" si="10"/>
        <v>7.6800000000000068</v>
      </c>
    </row>
    <row r="82" spans="1:4" x14ac:dyDescent="0.25">
      <c r="A82" s="14" t="s">
        <v>85</v>
      </c>
      <c r="B82" s="9">
        <f>93.8+509.9+84+239</f>
        <v>926.69999999999993</v>
      </c>
      <c r="C82" s="2">
        <f t="shared" si="9"/>
        <v>278.01</v>
      </c>
      <c r="D82" s="35">
        <f t="shared" si="10"/>
        <v>188.01</v>
      </c>
    </row>
    <row r="83" spans="1:4" x14ac:dyDescent="0.25">
      <c r="A83" s="11" t="s">
        <v>86</v>
      </c>
      <c r="B83" s="2">
        <f>30+24+243+89</f>
        <v>386</v>
      </c>
      <c r="C83" s="2">
        <f t="shared" si="9"/>
        <v>115.8</v>
      </c>
      <c r="D83" s="35">
        <f t="shared" si="10"/>
        <v>25.799999999999997</v>
      </c>
    </row>
    <row r="84" spans="1:4" x14ac:dyDescent="0.25">
      <c r="A84" s="11" t="s">
        <v>22</v>
      </c>
      <c r="B84" s="2">
        <f>44</f>
        <v>44</v>
      </c>
      <c r="C84" s="2">
        <f t="shared" si="9"/>
        <v>13.2</v>
      </c>
      <c r="D84" s="2" t="s">
        <v>101</v>
      </c>
    </row>
    <row r="85" spans="1:4" x14ac:dyDescent="0.25">
      <c r="A85" s="13" t="s">
        <v>47</v>
      </c>
      <c r="B85" s="9"/>
      <c r="C85" s="2" t="str">
        <f t="shared" si="9"/>
        <v/>
      </c>
      <c r="D85" s="35" t="str">
        <f t="shared" si="10"/>
        <v/>
      </c>
    </row>
    <row r="86" spans="1:4" x14ac:dyDescent="0.25">
      <c r="A86" s="11" t="s">
        <v>48</v>
      </c>
      <c r="B86" s="9">
        <f>648.4+86.6+463+52.23+150</f>
        <v>1400.23</v>
      </c>
      <c r="C86" s="46">
        <f t="shared" si="9"/>
        <v>420.06900000000002</v>
      </c>
      <c r="D86" s="35">
        <f t="shared" si="10"/>
        <v>330.06900000000002</v>
      </c>
    </row>
    <row r="87" spans="1:4" x14ac:dyDescent="0.25">
      <c r="A87" s="11" t="s">
        <v>9</v>
      </c>
      <c r="B87" s="2">
        <v>389.4</v>
      </c>
      <c r="C87" s="2">
        <f t="shared" si="9"/>
        <v>116.82</v>
      </c>
      <c r="D87" s="2" t="s">
        <v>101</v>
      </c>
    </row>
  </sheetData>
  <sortState xmlns:xlrd2="http://schemas.microsoft.com/office/spreadsheetml/2017/richdata2" ref="A10:D87">
    <sortCondition ref="A10:A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Jenson</dc:creator>
  <cp:lastModifiedBy>Jenson, Erin K</cp:lastModifiedBy>
  <dcterms:created xsi:type="dcterms:W3CDTF">2026-02-10T23:48:22Z</dcterms:created>
  <dcterms:modified xsi:type="dcterms:W3CDTF">2026-04-01T15:44:42Z</dcterms:modified>
</cp:coreProperties>
</file>